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D:\ClientSupport\HINO\"/>
    </mc:Choice>
  </mc:AlternateContent>
  <xr:revisionPtr revIDLastSave="0" documentId="8_{8FF0DA6E-230C-423D-9D1B-65F37DB0261C}" xr6:coauthVersionLast="47" xr6:coauthVersionMax="47" xr10:uidLastSave="{00000000-0000-0000-0000-000000000000}"/>
  <bookViews>
    <workbookView xWindow="-120" yWindow="-120" windowWidth="20730" windowHeight="11160" tabRatio="816" activeTab="1" xr2:uid="{00000000-000D-0000-FFFF-FFFF00000000}"/>
  </bookViews>
  <sheets>
    <sheet name="Tax Prove Jan" sheetId="20" r:id="rId1"/>
    <sheet name="Tax Prove Feb" sheetId="2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20" l="1"/>
  <c r="I17" i="20"/>
  <c r="I14" i="21" l="1"/>
  <c r="D20" i="20"/>
  <c r="D17" i="21"/>
  <c r="F20" i="20"/>
  <c r="E20" i="20"/>
  <c r="C20" i="20"/>
  <c r="C43" i="21"/>
  <c r="C47" i="21"/>
  <c r="C33" i="21"/>
  <c r="F17" i="21"/>
  <c r="E17" i="21"/>
  <c r="C17" i="21"/>
  <c r="B17" i="21"/>
  <c r="A17" i="21"/>
  <c r="A20" i="20"/>
  <c r="B20" i="20"/>
  <c r="B6" i="20"/>
  <c r="C36" i="20"/>
  <c r="C50" i="20"/>
  <c r="B6" i="21"/>
  <c r="C29" i="21"/>
  <c r="C32" i="21"/>
  <c r="C46" i="21"/>
  <c r="B21" i="21" l="1"/>
  <c r="E21" i="21" s="1"/>
  <c r="A21" i="21"/>
  <c r="D21" i="21" s="1"/>
  <c r="A24" i="20"/>
  <c r="B24" i="20"/>
  <c r="B25" i="21"/>
  <c r="C21" i="21" l="1"/>
  <c r="I19" i="20"/>
  <c r="E24" i="20"/>
  <c r="C24" i="20"/>
  <c r="D24" i="20" l="1"/>
  <c r="A28" i="20" s="1"/>
  <c r="M21" i="21"/>
  <c r="M33" i="21" s="1"/>
  <c r="B28" i="20"/>
  <c r="L21" i="21" l="1"/>
  <c r="L33" i="21" s="1"/>
  <c r="A25" i="21" s="1"/>
  <c r="C25" i="21" s="1"/>
  <c r="E25" i="21" s="1"/>
  <c r="F25" i="21" s="1"/>
  <c r="A30" i="21" s="1"/>
  <c r="A44" i="21" s="1"/>
  <c r="C28" i="20"/>
  <c r="E28" i="20" s="1"/>
  <c r="F28" i="20" s="1"/>
  <c r="E30" i="21" l="1"/>
  <c r="E28" i="21"/>
  <c r="E29" i="21" s="1"/>
  <c r="A49" i="20"/>
  <c r="A33" i="20"/>
  <c r="A47" i="20" s="1"/>
  <c r="C30" i="21"/>
  <c r="E31" i="20"/>
  <c r="E32" i="20" s="1"/>
  <c r="E33" i="20"/>
  <c r="A48" i="20" s="1"/>
  <c r="F30" i="21"/>
  <c r="C44" i="21" s="1"/>
  <c r="F28" i="21"/>
  <c r="F29" i="21" s="1"/>
  <c r="F33" i="20"/>
  <c r="F31" i="20"/>
  <c r="F32" i="20" s="1"/>
  <c r="A45" i="21" l="1"/>
  <c r="C45" i="21" s="1"/>
  <c r="C48" i="21" s="1"/>
  <c r="B38" i="21" s="1"/>
  <c r="C31" i="21"/>
  <c r="C34" i="21" s="1"/>
  <c r="C32" i="20"/>
  <c r="C46" i="20"/>
  <c r="E37" i="21" l="1"/>
  <c r="F37" i="21" s="1"/>
  <c r="B37" i="21"/>
  <c r="C48" i="20"/>
  <c r="C49" i="20" l="1"/>
  <c r="C47" i="20"/>
  <c r="C33" i="20"/>
  <c r="C51" i="20" l="1"/>
  <c r="B41" i="20" s="1"/>
  <c r="E41" i="20" s="1"/>
  <c r="C34" i="20"/>
  <c r="C35" i="20"/>
  <c r="N21" i="21" l="1"/>
  <c r="N33" i="21" s="1"/>
  <c r="E38" i="21" s="1"/>
  <c r="F41" i="20"/>
  <c r="C37" i="20"/>
  <c r="B40" i="20" s="1"/>
  <c r="E39" i="21" l="1"/>
  <c r="F38" i="21"/>
  <c r="E40" i="20"/>
  <c r="F40" i="20" l="1"/>
  <c r="E42" i="20"/>
  <c r="O21" i="21"/>
  <c r="O33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Aden Baihaqi</author>
  </authors>
  <commentList>
    <comment ref="A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setiap bulan (Reguler) dan tipe nya gross</t>
        </r>
      </text>
    </comment>
    <comment ref="B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tidak setiap bulan/sekali (Irreguler) dan tipe nya gross</t>
        </r>
      </text>
    </comment>
    <comment ref="H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Dana Pensiun</t>
        </r>
      </text>
    </comment>
    <comment ref="H1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Aden Baihaqi:
</t>
        </r>
        <r>
          <rPr>
            <sz val="9"/>
            <color indexed="81"/>
            <rFont val="Tahoma"/>
            <family val="2"/>
          </rPr>
          <t>Pot. BPJS Ket (JHT) - Employee 2%</t>
        </r>
      </text>
    </comment>
    <comment ref="H1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Wage Type FCR: Max 5 % dari Reg Total.
</t>
        </r>
      </text>
    </comment>
    <comment ref="H2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Harus di input jika terdapat Irreguler income dan FCR belum sampai max 500.000</t>
        </r>
      </text>
    </comment>
    <comment ref="D2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Reguler Total - Total Pretax</t>
        </r>
      </text>
    </comment>
    <comment ref="D2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Update PTKP Terakhir tahun 2016:
K0: 58500000
K1 : 63000000
K2: 67500000
K3: 72000000
TK1 : 58500000
TK2: 63000000
TK3: 67500000
TK   : 54000000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Aden Baihaqi</author>
  </authors>
  <commentList>
    <comment ref="A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setiap bulan (Reguler) dan tipe nya gross</t>
        </r>
      </text>
    </comment>
    <comment ref="B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tidak setiap bulan/sekali (Irreguler) dan tipe nya gross</t>
        </r>
      </text>
    </comment>
    <comment ref="H1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Dana Pensiun</t>
        </r>
      </text>
    </comment>
    <comment ref="H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Aden Baihaqi:
</t>
        </r>
        <r>
          <rPr>
            <sz val="9"/>
            <color indexed="81"/>
            <rFont val="Tahoma"/>
            <family val="2"/>
          </rPr>
          <t>Pot. BPJS Ket (JHT) - Employee 2%</t>
        </r>
      </text>
    </comment>
    <comment ref="H1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Wage Type FCR: Max 5 % dari Reg Total.
</t>
        </r>
      </text>
    </comment>
    <comment ref="H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Harus di input jika terdapat Irreguler income dan FCR belum sampai max 500.000</t>
        </r>
      </text>
    </comment>
    <comment ref="D2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Reguler Total - Total Pretax</t>
        </r>
      </text>
    </comment>
    <comment ref="D24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Update PTKP Terakhir tahun 2016:
K0: 58500000
K1 : 63000000
K2: 67500000
K3: 72000000
TK1 : 58500000
TK2: 63000000
TK3: 67500000
TK   : 54000000</t>
        </r>
      </text>
    </comment>
  </commentList>
</comments>
</file>

<file path=xl/sharedStrings.xml><?xml version="1.0" encoding="utf-8"?>
<sst xmlns="http://schemas.openxmlformats.org/spreadsheetml/2006/main" count="154" uniqueCount="78">
  <si>
    <t>Reg Gross</t>
  </si>
  <si>
    <t>Irr Gross</t>
  </si>
  <si>
    <t>Reg Net</t>
  </si>
  <si>
    <t>Reg Net Tax</t>
  </si>
  <si>
    <t>Irr Net</t>
  </si>
  <si>
    <t>Irr Net Tax</t>
  </si>
  <si>
    <t>Bulan</t>
  </si>
  <si>
    <t>Pre tax ded</t>
  </si>
  <si>
    <t>Amount</t>
  </si>
  <si>
    <t>Total (/126)</t>
  </si>
  <si>
    <t>Pernr</t>
  </si>
  <si>
    <t>Func Cost (/410)</t>
  </si>
  <si>
    <t>Bracket Tax</t>
  </si>
  <si>
    <t>Rate</t>
  </si>
  <si>
    <t>AnnTtl Tax (/419)</t>
  </si>
  <si>
    <t>Ann Irr Tax (/421)</t>
  </si>
  <si>
    <t>Ann Reg Tax (/420)</t>
  </si>
  <si>
    <t>Irr Tax (/423)</t>
  </si>
  <si>
    <t>Reg Tax (/422)</t>
  </si>
  <si>
    <t>Irreg FC (/411)</t>
  </si>
  <si>
    <t>Total Tax</t>
  </si>
  <si>
    <t>Regular Tax</t>
  </si>
  <si>
    <t>AnnTtl Tax (/420)</t>
  </si>
  <si>
    <t>Total Tax (/424)</t>
  </si>
  <si>
    <t xml:space="preserve">System </t>
  </si>
  <si>
    <t>Reg Total</t>
  </si>
  <si>
    <t xml:space="preserve">Irr Total </t>
  </si>
  <si>
    <t>Total Gross</t>
  </si>
  <si>
    <t xml:space="preserve">Reg Net </t>
  </si>
  <si>
    <t xml:space="preserve">Irr Net </t>
  </si>
  <si>
    <t xml:space="preserve">Dapen </t>
  </si>
  <si>
    <t>Ann Ttl Tax</t>
  </si>
  <si>
    <t>Ann Total Net</t>
  </si>
  <si>
    <t xml:space="preserve">Ann Irr Net </t>
  </si>
  <si>
    <t xml:space="preserve">Ann Reg Net </t>
  </si>
  <si>
    <t>Reg</t>
  </si>
  <si>
    <t>Previous Cumulative Income</t>
  </si>
  <si>
    <t>Ireg</t>
  </si>
  <si>
    <t>Maret</t>
  </si>
  <si>
    <t>April</t>
  </si>
  <si>
    <t>Mei</t>
  </si>
  <si>
    <t>Reg Tax</t>
  </si>
  <si>
    <t>Ireg Tax</t>
  </si>
  <si>
    <t>Januari</t>
  </si>
  <si>
    <t>Februari</t>
  </si>
  <si>
    <t>Juni</t>
  </si>
  <si>
    <t>July</t>
  </si>
  <si>
    <t>Agustus</t>
  </si>
  <si>
    <t>September</t>
  </si>
  <si>
    <t>Oktober</t>
  </si>
  <si>
    <t>November</t>
  </si>
  <si>
    <t>Desember</t>
  </si>
  <si>
    <t>Total</t>
  </si>
  <si>
    <t>Pembulatan Ann Ttl Tax</t>
  </si>
  <si>
    <t>Bulan Hiring</t>
  </si>
  <si>
    <t>Total Bulan Kerja</t>
  </si>
  <si>
    <t>Payroll Bulan ke</t>
  </si>
  <si>
    <t>Minova HR APOL</t>
  </si>
  <si>
    <t>Ann Reg Tax</t>
  </si>
  <si>
    <t>Pembulatan Ann Reg Tax</t>
  </si>
  <si>
    <t>Selisih</t>
  </si>
  <si>
    <t>STEP PERHITUNGAN PAJAK TIPE NET</t>
  </si>
  <si>
    <t>1. Masukkan Komponen Kena Pajak Sesuai dengan sifat dari masing2 Wage Type (Reg Net/Irr Net)</t>
  </si>
  <si>
    <t>2. Input Pretax sesuai kolomnya</t>
  </si>
  <si>
    <t>BPJS Pensiun</t>
  </si>
  <si>
    <t>BPJS Ket (JHT)</t>
  </si>
  <si>
    <t xml:space="preserve">Annual PTKP </t>
  </si>
  <si>
    <t>3. Isi PTKP employee sesuai Tax Status</t>
  </si>
  <si>
    <t>Pajak</t>
  </si>
  <si>
    <t xml:space="preserve">      Jika Pajak Reguler dan Irreguler terisi:</t>
  </si>
  <si>
    <r>
      <t xml:space="preserve">      1.Yang pertama dilakukan adalah copy paste </t>
    </r>
    <r>
      <rPr>
        <b/>
        <sz val="10"/>
        <rFont val="Arial"/>
        <family val="2"/>
      </rPr>
      <t>value</t>
    </r>
    <r>
      <rPr>
        <sz val="10"/>
        <rFont val="Arial"/>
        <family val="2"/>
      </rPr>
      <t xml:space="preserve"> reg tax ke kolom Reg Nett Tax (D10)</t>
    </r>
  </si>
  <si>
    <t xml:space="preserve">      2.Jika pada field selisih diatas terisi, maka klik selisih tersebut kemudian pilih Tab DATA -&gt; What-if-Analysis -&gt; Goal Seek</t>
  </si>
  <si>
    <r>
      <t xml:space="preserve">      3.Field To value diisi nol (0) dan Field by changing cell diisi dengan meng-klik field </t>
    </r>
    <r>
      <rPr>
        <b/>
        <sz val="10"/>
        <rFont val="Arial"/>
        <family val="2"/>
      </rPr>
      <t>Reg Net Tax</t>
    </r>
    <r>
      <rPr>
        <sz val="10"/>
        <rFont val="Arial"/>
        <family val="2"/>
      </rPr>
      <t xml:space="preserve"> pada tabel no 1</t>
    </r>
  </si>
  <si>
    <t xml:space="preserve">      4.Jika sudah di iterasi hingga nol (0), maka akan terlihat nilai pajak fix untuk Reguler</t>
  </si>
  <si>
    <t xml:space="preserve">      5.Lakukan hal yang sama untuk pajak irreguler</t>
  </si>
  <si>
    <t xml:space="preserve">      Jika Hanya Pajak Reguler yang terisi:</t>
  </si>
  <si>
    <t>4. Goal Seek (Cek detail proses pada bagian bawah)</t>
  </si>
  <si>
    <t>Employee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</si>
</sst>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[$-10409]#,##0.00;\-#,##0.00"/>
    <numFmt numFmtId="167" formatCode="[$-10409]#,##0;\-#,##0"/>
    <numFmt numFmtId="168" formatCode="[$-10409]#,##0;\(#,##0\)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5"/>
      <name val="Arial"/>
      <family val="2"/>
    </font>
    <font>
      <sz val="15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2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3" fontId="0" fillId="0" borderId="1" xfId="0" applyNumberFormat="1" applyBorder="1"/>
    <xf numFmtId="9" fontId="0" fillId="0" borderId="1" xfId="0" applyNumberFormat="1" applyBorder="1"/>
    <xf numFmtId="3" fontId="0" fillId="3" borderId="1" xfId="0" applyNumberFormat="1" applyFill="1" applyBorder="1"/>
    <xf numFmtId="3" fontId="0" fillId="4" borderId="1" xfId="0" applyNumberFormat="1" applyFill="1" applyBorder="1"/>
    <xf numFmtId="0" fontId="0" fillId="0" borderId="0" xfId="0" applyAlignment="1">
      <alignment horizontal="right"/>
    </xf>
    <xf numFmtId="3" fontId="0" fillId="0" borderId="0" xfId="0" applyNumberFormat="1"/>
    <xf numFmtId="9" fontId="0" fillId="0" borderId="0" xfId="0" applyNumberFormat="1"/>
    <xf numFmtId="0" fontId="0" fillId="0" borderId="1" xfId="0" applyBorder="1" applyAlignment="1">
      <alignment horizontal="right"/>
    </xf>
    <xf numFmtId="0" fontId="0" fillId="5" borderId="1" xfId="0" applyFill="1" applyBorder="1"/>
    <xf numFmtId="165" fontId="0" fillId="0" borderId="0" xfId="1" applyNumberFormat="1" applyFont="1" applyFill="1" applyBorder="1"/>
    <xf numFmtId="3" fontId="0" fillId="6" borderId="1" xfId="0" applyNumberFormat="1" applyFill="1" applyBorder="1"/>
    <xf numFmtId="166" fontId="3" fillId="0" borderId="2" xfId="0" applyNumberFormat="1" applyFont="1" applyBorder="1" applyAlignment="1" applyProtection="1">
      <alignment horizontal="right" vertical="top" wrapText="1" readingOrder="1"/>
      <protection locked="0"/>
    </xf>
    <xf numFmtId="0" fontId="0" fillId="0" borderId="1" xfId="0" quotePrefix="1" applyBorder="1" applyAlignment="1">
      <alignment horizontal="right"/>
    </xf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166" fontId="2" fillId="0" borderId="0" xfId="0" applyNumberFormat="1" applyFont="1" applyAlignment="1" applyProtection="1">
      <alignment horizontal="right" vertical="top" wrapText="1" readingOrder="1"/>
      <protection locked="0"/>
    </xf>
    <xf numFmtId="3" fontId="0" fillId="8" borderId="1" xfId="0" applyNumberFormat="1" applyFill="1" applyBorder="1"/>
    <xf numFmtId="0" fontId="0" fillId="0" borderId="4" xfId="0" applyBorder="1"/>
    <xf numFmtId="0" fontId="6" fillId="0" borderId="0" xfId="0" applyFont="1"/>
    <xf numFmtId="167" fontId="0" fillId="0" borderId="0" xfId="0" applyNumberFormat="1"/>
    <xf numFmtId="166" fontId="8" fillId="0" borderId="5" xfId="0" applyNumberFormat="1" applyFont="1" applyBorder="1" applyAlignment="1">
      <alignment horizontal="right" vertical="top" wrapText="1" readingOrder="1"/>
    </xf>
    <xf numFmtId="0" fontId="11" fillId="0" borderId="0" xfId="0" applyFont="1" applyAlignment="1">
      <alignment horizontal="center"/>
    </xf>
    <xf numFmtId="0" fontId="12" fillId="0" borderId="0" xfId="0" applyFont="1"/>
    <xf numFmtId="0" fontId="6" fillId="2" borderId="1" xfId="0" applyFont="1" applyFill="1" applyBorder="1" applyAlignment="1">
      <alignment horizontal="center"/>
    </xf>
    <xf numFmtId="166" fontId="7" fillId="8" borderId="5" xfId="0" applyNumberFormat="1" applyFont="1" applyFill="1" applyBorder="1" applyAlignment="1">
      <alignment horizontal="right" vertical="top" wrapText="1" readingOrder="1"/>
    </xf>
    <xf numFmtId="166" fontId="13" fillId="6" borderId="5" xfId="0" applyNumberFormat="1" applyFont="1" applyFill="1" applyBorder="1" applyAlignment="1">
      <alignment horizontal="right" vertical="top" wrapText="1" readingOrder="1"/>
    </xf>
    <xf numFmtId="3" fontId="14" fillId="6" borderId="1" xfId="0" applyNumberFormat="1" applyFont="1" applyFill="1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 applyProtection="1">
      <alignment horizontal="left" vertical="top" wrapText="1" readingOrder="1"/>
      <protection locked="0"/>
    </xf>
    <xf numFmtId="0" fontId="0" fillId="0" borderId="0" xfId="0"/>
    <xf numFmtId="0" fontId="0" fillId="0" borderId="0" xfId="0" applyAlignment="1">
      <alignment horizontal="center"/>
    </xf>
    <xf numFmtId="168" fontId="3" fillId="8" borderId="2" xfId="0" applyNumberFormat="1" applyFont="1" applyFill="1" applyBorder="1" applyAlignment="1" applyProtection="1">
      <alignment horizontal="right" vertical="top" wrapText="1" readingOrder="1"/>
      <protection locked="0"/>
    </xf>
    <xf numFmtId="168" fontId="0" fillId="0" borderId="0" xfId="0" applyNumberFormat="1"/>
  </cellXfs>
  <cellStyles count="3">
    <cellStyle name="Comma" xfId="1" builtinId="3"/>
    <cellStyle name="Excel Built-in Comma [0]" xfId="2" xr:uid="{00000000-0005-0000-0000-000002000000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zoomScale="80" zoomScaleNormal="80" zoomScalePageLayoutView="85" workbookViewId="0">
      <selection activeCell="I11" sqref="I11:I12"/>
    </sheetView>
  </sheetViews>
  <sheetFormatPr defaultColWidth="8.85546875" defaultRowHeight="12.75" x14ac:dyDescent="0.2"/>
  <cols>
    <col min="1" max="1" width="17" customWidth="1"/>
    <col min="2" max="2" width="20.140625" bestFit="1" customWidth="1"/>
    <col min="3" max="3" width="17.7109375" customWidth="1"/>
    <col min="4" max="4" width="17" customWidth="1"/>
    <col min="5" max="5" width="21.140625" bestFit="1" customWidth="1"/>
    <col min="6" max="6" width="22.5703125" bestFit="1" customWidth="1"/>
    <col min="7" max="7" width="2.7109375" customWidth="1"/>
    <col min="8" max="8" width="15.42578125" customWidth="1"/>
    <col min="9" max="9" width="14.42578125" customWidth="1"/>
    <col min="15" max="15" width="19" customWidth="1"/>
    <col min="16" max="16" width="18" customWidth="1"/>
  </cols>
  <sheetData>
    <row r="1" spans="1:16" x14ac:dyDescent="0.2">
      <c r="A1" s="2" t="s">
        <v>24</v>
      </c>
      <c r="B1" s="11" t="s">
        <v>57</v>
      </c>
      <c r="H1" s="24" t="s">
        <v>61</v>
      </c>
    </row>
    <row r="2" spans="1:16" x14ac:dyDescent="0.2">
      <c r="A2" s="2" t="s">
        <v>10</v>
      </c>
      <c r="B2" s="37"/>
      <c r="C2" s="38"/>
      <c r="D2" s="38"/>
      <c r="H2" t="s">
        <v>62</v>
      </c>
    </row>
    <row r="3" spans="1:16" x14ac:dyDescent="0.2">
      <c r="A3" s="2" t="s">
        <v>54</v>
      </c>
      <c r="B3" s="16">
        <v>1</v>
      </c>
      <c r="H3" t="s">
        <v>63</v>
      </c>
    </row>
    <row r="4" spans="1:16" x14ac:dyDescent="0.2">
      <c r="A4" s="2" t="s">
        <v>55</v>
      </c>
      <c r="B4" s="2">
        <v>12</v>
      </c>
      <c r="H4" t="s">
        <v>67</v>
      </c>
    </row>
    <row r="5" spans="1:16" x14ac:dyDescent="0.2">
      <c r="A5" s="2" t="s">
        <v>6</v>
      </c>
      <c r="B5" s="2">
        <v>1</v>
      </c>
      <c r="C5" s="23">
        <v>2023</v>
      </c>
      <c r="D5" t="s">
        <v>77</v>
      </c>
      <c r="H5" t="s">
        <v>76</v>
      </c>
    </row>
    <row r="6" spans="1:16" x14ac:dyDescent="0.2">
      <c r="A6" s="2" t="s">
        <v>56</v>
      </c>
      <c r="B6" s="2">
        <f>B5+1-B3</f>
        <v>1</v>
      </c>
    </row>
    <row r="8" spans="1:16" ht="19.5" x14ac:dyDescent="0.3">
      <c r="A8" s="35">
        <v>1</v>
      </c>
      <c r="B8" s="35"/>
      <c r="C8" s="35"/>
      <c r="D8" s="35"/>
      <c r="E8" s="35"/>
      <c r="F8" s="35"/>
      <c r="G8" s="28"/>
      <c r="H8" s="35">
        <v>2</v>
      </c>
      <c r="I8" s="35"/>
    </row>
    <row r="9" spans="1:16" x14ac:dyDescent="0.2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H9" s="1" t="s">
        <v>7</v>
      </c>
      <c r="I9" s="1" t="s">
        <v>8</v>
      </c>
    </row>
    <row r="10" spans="1:16" x14ac:dyDescent="0.2">
      <c r="A10" s="14"/>
      <c r="B10" s="14"/>
      <c r="C10" s="40">
        <v>10488914</v>
      </c>
      <c r="D10" s="14">
        <v>338027</v>
      </c>
      <c r="E10" s="14"/>
      <c r="F10" s="14"/>
      <c r="H10" s="2" t="s">
        <v>30</v>
      </c>
      <c r="I10" s="2">
        <v>0</v>
      </c>
      <c r="O10">
        <v>10826939</v>
      </c>
      <c r="P10" s="41">
        <f>C10-O10</f>
        <v>-338025</v>
      </c>
    </row>
    <row r="11" spans="1:16" x14ac:dyDescent="0.2">
      <c r="A11" s="14"/>
      <c r="B11" s="14"/>
      <c r="C11" s="14"/>
      <c r="D11" s="14"/>
      <c r="E11" s="14"/>
      <c r="F11" s="14"/>
      <c r="H11" s="2" t="s">
        <v>65</v>
      </c>
      <c r="I11" s="4">
        <v>80030</v>
      </c>
    </row>
    <row r="12" spans="1:16" x14ac:dyDescent="0.2">
      <c r="A12" s="14"/>
      <c r="B12" s="14"/>
      <c r="C12" s="14"/>
      <c r="D12" s="14"/>
      <c r="E12" s="14"/>
      <c r="F12" s="14"/>
      <c r="H12" s="2" t="s">
        <v>64</v>
      </c>
      <c r="I12" s="4">
        <v>160060</v>
      </c>
    </row>
    <row r="13" spans="1:16" x14ac:dyDescent="0.2">
      <c r="A13" s="14"/>
      <c r="B13" s="14"/>
      <c r="C13" s="14"/>
      <c r="D13" s="14"/>
      <c r="E13" s="14"/>
      <c r="F13" s="14"/>
      <c r="H13" s="2"/>
      <c r="I13" s="2"/>
    </row>
    <row r="14" spans="1:16" x14ac:dyDescent="0.2">
      <c r="A14" s="14"/>
      <c r="B14" s="14"/>
      <c r="C14" s="14"/>
      <c r="D14" s="14"/>
      <c r="E14" s="14"/>
      <c r="F14" s="14"/>
      <c r="H14" s="2"/>
      <c r="I14" s="2"/>
    </row>
    <row r="15" spans="1:16" x14ac:dyDescent="0.2">
      <c r="A15" s="14"/>
      <c r="B15" s="14"/>
      <c r="C15" s="31"/>
      <c r="D15" s="14"/>
      <c r="E15" s="14"/>
      <c r="F15" s="14"/>
      <c r="H15" s="2"/>
      <c r="I15" s="2"/>
    </row>
    <row r="16" spans="1:16" x14ac:dyDescent="0.2">
      <c r="A16" s="14"/>
      <c r="B16" s="14"/>
      <c r="C16" s="31"/>
      <c r="D16" s="14"/>
      <c r="E16" s="14"/>
      <c r="F16" s="14"/>
      <c r="H16" s="2"/>
      <c r="I16" s="2"/>
    </row>
    <row r="17" spans="1:11" x14ac:dyDescent="0.2">
      <c r="A17" s="14"/>
      <c r="B17" s="14"/>
      <c r="C17" s="31"/>
      <c r="D17" s="14"/>
      <c r="E17" s="14"/>
      <c r="F17" s="14"/>
      <c r="H17" s="3" t="s">
        <v>9</v>
      </c>
      <c r="I17" s="6">
        <f>SUM(I10:I12)</f>
        <v>240090</v>
      </c>
    </row>
    <row r="18" spans="1:11" x14ac:dyDescent="0.2">
      <c r="A18" s="14"/>
      <c r="B18" s="14"/>
      <c r="C18" s="32"/>
      <c r="D18" s="14"/>
      <c r="E18" s="14"/>
      <c r="F18" s="14"/>
    </row>
    <row r="19" spans="1:11" x14ac:dyDescent="0.2">
      <c r="A19" s="14"/>
      <c r="B19" s="14"/>
      <c r="C19" s="14"/>
      <c r="D19" s="14"/>
      <c r="E19" s="14"/>
      <c r="F19" s="14"/>
      <c r="H19" s="1" t="s">
        <v>11</v>
      </c>
      <c r="I19" s="15">
        <f>IF(A24*5%&gt;500000,500000,A24*5%)</f>
        <v>500000</v>
      </c>
    </row>
    <row r="20" spans="1:11" x14ac:dyDescent="0.2">
      <c r="A20" s="6">
        <f t="shared" ref="A20:F20" si="0">SUM(A10:A19)</f>
        <v>0</v>
      </c>
      <c r="B20" s="6">
        <f t="shared" si="0"/>
        <v>0</v>
      </c>
      <c r="C20" s="6">
        <f t="shared" si="0"/>
        <v>10488914</v>
      </c>
      <c r="D20" s="6">
        <f t="shared" si="0"/>
        <v>338027</v>
      </c>
      <c r="E20" s="6">
        <f>SUM(E10:E19)</f>
        <v>0</v>
      </c>
      <c r="F20" s="6">
        <f t="shared" si="0"/>
        <v>0</v>
      </c>
      <c r="H20" s="1" t="s">
        <v>19</v>
      </c>
      <c r="I20" s="2"/>
    </row>
    <row r="22" spans="1:11" x14ac:dyDescent="0.2">
      <c r="I22" s="25"/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28</v>
      </c>
      <c r="E23" s="1" t="s">
        <v>29</v>
      </c>
    </row>
    <row r="24" spans="1:11" x14ac:dyDescent="0.2">
      <c r="A24" s="4">
        <f>A20+C20+D20</f>
        <v>10826941</v>
      </c>
      <c r="B24" s="4">
        <f>B20+E20+F20</f>
        <v>0</v>
      </c>
      <c r="C24" s="4">
        <f>A24+B24</f>
        <v>10826941</v>
      </c>
      <c r="D24" s="4">
        <f>A24-I17-I19</f>
        <v>10086851</v>
      </c>
      <c r="E24" s="4">
        <f>B24-I20</f>
        <v>0</v>
      </c>
      <c r="I24" s="25"/>
      <c r="K24" s="25"/>
    </row>
    <row r="25" spans="1:11" x14ac:dyDescent="0.2">
      <c r="A25" s="9"/>
      <c r="B25" s="9"/>
      <c r="C25" s="9"/>
      <c r="D25" s="9"/>
      <c r="E25" s="9"/>
      <c r="K25" s="25"/>
    </row>
    <row r="26" spans="1:11" ht="19.5" x14ac:dyDescent="0.3">
      <c r="D26" s="27">
        <v>3</v>
      </c>
    </row>
    <row r="27" spans="1:11" x14ac:dyDescent="0.2">
      <c r="A27" s="1" t="s">
        <v>34</v>
      </c>
      <c r="B27" s="1" t="s">
        <v>33</v>
      </c>
      <c r="C27" s="1" t="s">
        <v>32</v>
      </c>
      <c r="D27" s="1" t="s">
        <v>66</v>
      </c>
      <c r="E27" s="1" t="s">
        <v>31</v>
      </c>
      <c r="F27" s="1" t="s">
        <v>58</v>
      </c>
    </row>
    <row r="28" spans="1:11" x14ac:dyDescent="0.2">
      <c r="A28" s="4">
        <f>D24*B4/B6</f>
        <v>121042212</v>
      </c>
      <c r="B28" s="4">
        <f>E24</f>
        <v>0</v>
      </c>
      <c r="C28" s="4">
        <f>A28+B28</f>
        <v>121042212</v>
      </c>
      <c r="D28" s="9">
        <v>54000000</v>
      </c>
      <c r="E28" s="4">
        <f>C28-D28</f>
        <v>67042212</v>
      </c>
      <c r="F28" s="4">
        <f>E28-B28</f>
        <v>67042212</v>
      </c>
    </row>
    <row r="30" spans="1:11" x14ac:dyDescent="0.2">
      <c r="A30" t="s">
        <v>20</v>
      </c>
      <c r="E30" s="1" t="s">
        <v>53</v>
      </c>
      <c r="F30" s="1" t="s">
        <v>59</v>
      </c>
    </row>
    <row r="31" spans="1:11" x14ac:dyDescent="0.2">
      <c r="A31" s="1" t="s">
        <v>12</v>
      </c>
      <c r="B31" s="1" t="s">
        <v>13</v>
      </c>
      <c r="C31" s="1" t="s">
        <v>8</v>
      </c>
      <c r="E31" s="4">
        <f>E28/1000</f>
        <v>67042.212</v>
      </c>
      <c r="F31" s="4">
        <f>F28/1000</f>
        <v>67042.212</v>
      </c>
    </row>
    <row r="32" spans="1:11" x14ac:dyDescent="0.2">
      <c r="A32" s="7">
        <v>60000000</v>
      </c>
      <c r="B32" s="5">
        <v>0.05</v>
      </c>
      <c r="C32" s="4">
        <f>A32*B32</f>
        <v>3000000</v>
      </c>
      <c r="D32" s="9"/>
      <c r="E32" s="2">
        <f>ROUND(E31,0)</f>
        <v>67042</v>
      </c>
      <c r="F32" s="2">
        <f>ROUND(F31,0)</f>
        <v>67042</v>
      </c>
    </row>
    <row r="33" spans="1:9" x14ac:dyDescent="0.2">
      <c r="A33" s="7">
        <f>F28-A32</f>
        <v>7042212</v>
      </c>
      <c r="B33" s="5">
        <v>0.15</v>
      </c>
      <c r="C33" s="4">
        <f>A33*B33</f>
        <v>1056331.8</v>
      </c>
      <c r="D33" s="9"/>
      <c r="E33" s="22">
        <f>ROUNDDOWN(E28,-3)</f>
        <v>67042000</v>
      </c>
      <c r="F33" s="22">
        <f>ROUNDDOWN(F28,-3)</f>
        <v>67042000</v>
      </c>
    </row>
    <row r="34" spans="1:9" x14ac:dyDescent="0.2">
      <c r="A34" s="7"/>
      <c r="B34" s="5">
        <v>0.25</v>
      </c>
      <c r="C34" s="4">
        <f>A34*B34</f>
        <v>0</v>
      </c>
      <c r="D34" s="9"/>
      <c r="E34" s="21"/>
    </row>
    <row r="35" spans="1:9" x14ac:dyDescent="0.2">
      <c r="A35" s="7"/>
      <c r="B35" s="5">
        <v>0.3</v>
      </c>
      <c r="C35" s="4">
        <f>A35*B35</f>
        <v>0</v>
      </c>
      <c r="D35" s="9"/>
      <c r="E35" s="21"/>
    </row>
    <row r="36" spans="1:9" x14ac:dyDescent="0.2">
      <c r="A36" s="7"/>
      <c r="B36" s="5"/>
      <c r="C36" s="4">
        <f>A36*0.35</f>
        <v>0</v>
      </c>
      <c r="D36" s="9"/>
      <c r="E36" s="10"/>
    </row>
    <row r="37" spans="1:9" x14ac:dyDescent="0.2">
      <c r="A37" s="33" t="s">
        <v>14</v>
      </c>
      <c r="B37" s="34"/>
      <c r="C37" s="6">
        <f>SUM(C32:C36)</f>
        <v>4056331.8</v>
      </c>
      <c r="D37" s="39"/>
      <c r="E37" s="39"/>
    </row>
    <row r="38" spans="1:9" ht="19.5" x14ac:dyDescent="0.3">
      <c r="D38" s="36">
        <v>4</v>
      </c>
      <c r="E38" s="36"/>
      <c r="F38" s="36"/>
    </row>
    <row r="39" spans="1:9" x14ac:dyDescent="0.2">
      <c r="E39" s="29" t="s">
        <v>68</v>
      </c>
      <c r="F39" s="29" t="s">
        <v>60</v>
      </c>
    </row>
    <row r="40" spans="1:9" x14ac:dyDescent="0.2">
      <c r="A40" s="1" t="s">
        <v>15</v>
      </c>
      <c r="B40" s="4">
        <f>C37-C51</f>
        <v>0</v>
      </c>
      <c r="D40" s="1" t="s">
        <v>17</v>
      </c>
      <c r="E40" s="4">
        <f>C37-B41</f>
        <v>0</v>
      </c>
      <c r="F40" s="4">
        <f>E40-F10</f>
        <v>0</v>
      </c>
    </row>
    <row r="41" spans="1:9" x14ac:dyDescent="0.2">
      <c r="A41" s="1" t="s">
        <v>16</v>
      </c>
      <c r="B41" s="4">
        <f>C51</f>
        <v>4056331.8</v>
      </c>
      <c r="D41" s="1" t="s">
        <v>18</v>
      </c>
      <c r="E41" s="4">
        <f>ROUNDDOWN((B41*(B5/12)),0)</f>
        <v>338027</v>
      </c>
      <c r="F41" s="4">
        <f>E41-D10</f>
        <v>0</v>
      </c>
      <c r="I41" s="9"/>
    </row>
    <row r="42" spans="1:9" x14ac:dyDescent="0.2">
      <c r="D42" s="12" t="s">
        <v>23</v>
      </c>
      <c r="E42" s="4">
        <f>E40+E41</f>
        <v>338027</v>
      </c>
      <c r="F42" s="2"/>
      <c r="H42" s="9"/>
    </row>
    <row r="43" spans="1:9" x14ac:dyDescent="0.2">
      <c r="H43" s="9"/>
    </row>
    <row r="44" spans="1:9" x14ac:dyDescent="0.2">
      <c r="A44" t="s">
        <v>21</v>
      </c>
      <c r="D44" s="24" t="s">
        <v>75</v>
      </c>
    </row>
    <row r="45" spans="1:9" x14ac:dyDescent="0.2">
      <c r="A45" s="1" t="s">
        <v>12</v>
      </c>
      <c r="B45" s="1" t="s">
        <v>13</v>
      </c>
      <c r="C45" s="1" t="s">
        <v>8</v>
      </c>
      <c r="D45" t="s">
        <v>70</v>
      </c>
      <c r="E45" s="13"/>
    </row>
    <row r="46" spans="1:9" x14ac:dyDescent="0.2">
      <c r="A46" s="7">
        <v>60000000</v>
      </c>
      <c r="B46" s="5">
        <v>0.05</v>
      </c>
      <c r="C46" s="4">
        <f>A46*0.05</f>
        <v>3000000</v>
      </c>
      <c r="D46" t="s">
        <v>71</v>
      </c>
      <c r="F46" s="9"/>
      <c r="G46" s="9"/>
    </row>
    <row r="47" spans="1:9" x14ac:dyDescent="0.2">
      <c r="A47" s="7">
        <f>A33</f>
        <v>7042212</v>
      </c>
      <c r="B47" s="5">
        <v>0.15</v>
      </c>
      <c r="C47" s="4">
        <f>A47*0.15</f>
        <v>1056331.8</v>
      </c>
      <c r="D47" t="s">
        <v>72</v>
      </c>
    </row>
    <row r="48" spans="1:9" x14ac:dyDescent="0.2">
      <c r="A48" s="7">
        <f>A34</f>
        <v>0</v>
      </c>
      <c r="B48" s="5">
        <v>0.25</v>
      </c>
      <c r="C48" s="4">
        <f>A48*0.25</f>
        <v>0</v>
      </c>
      <c r="D48" t="s">
        <v>73</v>
      </c>
      <c r="E48" s="8"/>
      <c r="F48" s="9"/>
      <c r="G48" s="9"/>
    </row>
    <row r="49" spans="1:10" x14ac:dyDescent="0.2">
      <c r="A49" s="7">
        <f>A35</f>
        <v>0</v>
      </c>
      <c r="B49" s="5">
        <v>0.3</v>
      </c>
      <c r="C49" s="4">
        <f>A49*0.3</f>
        <v>0</v>
      </c>
      <c r="F49" s="9"/>
      <c r="G49" s="9"/>
    </row>
    <row r="50" spans="1:10" x14ac:dyDescent="0.2">
      <c r="A50" s="7"/>
      <c r="B50" s="5"/>
      <c r="C50" s="4">
        <f>A50*0.35</f>
        <v>0</v>
      </c>
      <c r="F50" s="9"/>
      <c r="G50" s="9"/>
    </row>
    <row r="51" spans="1:10" x14ac:dyDescent="0.2">
      <c r="A51" s="33" t="s">
        <v>22</v>
      </c>
      <c r="B51" s="34"/>
      <c r="C51" s="6">
        <f>SUM(C46:C50)</f>
        <v>4056331.8</v>
      </c>
      <c r="D51" s="24" t="s">
        <v>69</v>
      </c>
      <c r="F51" s="9"/>
      <c r="G51" s="9"/>
    </row>
    <row r="52" spans="1:10" x14ac:dyDescent="0.2">
      <c r="D52" t="s">
        <v>70</v>
      </c>
      <c r="F52" s="9"/>
      <c r="G52" s="9"/>
      <c r="J52" s="9"/>
    </row>
    <row r="53" spans="1:10" x14ac:dyDescent="0.2">
      <c r="D53" t="s">
        <v>71</v>
      </c>
      <c r="F53" s="9"/>
      <c r="G53" s="9"/>
    </row>
    <row r="54" spans="1:10" x14ac:dyDescent="0.2">
      <c r="D54" t="s">
        <v>72</v>
      </c>
    </row>
    <row r="55" spans="1:10" x14ac:dyDescent="0.2">
      <c r="D55" t="s">
        <v>73</v>
      </c>
    </row>
    <row r="56" spans="1:10" x14ac:dyDescent="0.2">
      <c r="D56" t="s">
        <v>74</v>
      </c>
    </row>
  </sheetData>
  <mergeCells count="7">
    <mergeCell ref="A51:B51"/>
    <mergeCell ref="A8:F8"/>
    <mergeCell ref="H8:I8"/>
    <mergeCell ref="D38:F38"/>
    <mergeCell ref="B2:D2"/>
    <mergeCell ref="A37:B37"/>
    <mergeCell ref="D37:E37"/>
  </mergeCells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3"/>
  <sheetViews>
    <sheetView tabSelected="1" zoomScale="85" zoomScaleNormal="85" zoomScalePageLayoutView="85" workbookViewId="0">
      <selection activeCell="D14" sqref="D14"/>
    </sheetView>
  </sheetViews>
  <sheetFormatPr defaultColWidth="8.85546875" defaultRowHeight="12.75" x14ac:dyDescent="0.2"/>
  <cols>
    <col min="1" max="1" width="17" customWidth="1"/>
    <col min="2" max="2" width="20.140625" bestFit="1" customWidth="1"/>
    <col min="3" max="3" width="17.7109375" customWidth="1"/>
    <col min="4" max="4" width="17" customWidth="1"/>
    <col min="5" max="5" width="21.140625" bestFit="1" customWidth="1"/>
    <col min="6" max="6" width="22.5703125" bestFit="1" customWidth="1"/>
    <col min="7" max="7" width="2.85546875" customWidth="1"/>
    <col min="8" max="8" width="15.42578125" customWidth="1"/>
    <col min="9" max="9" width="14.42578125" customWidth="1"/>
    <col min="11" max="11" width="12" customWidth="1"/>
    <col min="12" max="12" width="11.28515625" bestFit="1" customWidth="1"/>
    <col min="13" max="15" width="10.7109375" customWidth="1"/>
  </cols>
  <sheetData>
    <row r="1" spans="1:11" x14ac:dyDescent="0.2">
      <c r="A1" s="2" t="s">
        <v>24</v>
      </c>
      <c r="B1" s="11" t="s">
        <v>57</v>
      </c>
      <c r="H1" s="24" t="s">
        <v>61</v>
      </c>
    </row>
    <row r="2" spans="1:11" x14ac:dyDescent="0.2">
      <c r="A2" s="2" t="s">
        <v>10</v>
      </c>
      <c r="B2" s="37"/>
      <c r="C2" s="38"/>
      <c r="D2" s="38"/>
      <c r="H2" t="s">
        <v>62</v>
      </c>
    </row>
    <row r="3" spans="1:11" x14ac:dyDescent="0.2">
      <c r="A3" s="2" t="s">
        <v>54</v>
      </c>
      <c r="B3" s="16">
        <v>1</v>
      </c>
      <c r="H3" t="s">
        <v>63</v>
      </c>
    </row>
    <row r="4" spans="1:11" x14ac:dyDescent="0.2">
      <c r="A4" s="2" t="s">
        <v>55</v>
      </c>
      <c r="B4" s="2">
        <v>12</v>
      </c>
      <c r="H4" t="s">
        <v>67</v>
      </c>
    </row>
    <row r="5" spans="1:11" x14ac:dyDescent="0.2">
      <c r="A5" s="2" t="s">
        <v>6</v>
      </c>
      <c r="B5" s="2">
        <v>2</v>
      </c>
      <c r="C5" s="23">
        <v>2023</v>
      </c>
      <c r="D5" t="s">
        <v>77</v>
      </c>
      <c r="H5" t="s">
        <v>76</v>
      </c>
    </row>
    <row r="6" spans="1:11" x14ac:dyDescent="0.2">
      <c r="A6" s="2" t="s">
        <v>56</v>
      </c>
      <c r="B6" s="2">
        <f>B5+1-B3</f>
        <v>2</v>
      </c>
    </row>
    <row r="8" spans="1:11" ht="19.5" x14ac:dyDescent="0.3">
      <c r="A8" s="35">
        <v>1</v>
      </c>
      <c r="B8" s="35"/>
      <c r="C8" s="35"/>
      <c r="D8" s="35"/>
      <c r="E8" s="35"/>
      <c r="F8" s="35"/>
      <c r="G8" s="28"/>
      <c r="H8" s="35">
        <v>2</v>
      </c>
      <c r="I8" s="35"/>
    </row>
    <row r="9" spans="1:11" x14ac:dyDescent="0.2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H9" s="1" t="s">
        <v>7</v>
      </c>
      <c r="I9" s="1" t="s">
        <v>8</v>
      </c>
    </row>
    <row r="10" spans="1:11" x14ac:dyDescent="0.2">
      <c r="A10" s="14"/>
      <c r="B10" s="14"/>
      <c r="C10" s="14">
        <v>9278337</v>
      </c>
      <c r="D10" s="14">
        <v>129621</v>
      </c>
      <c r="E10" s="30"/>
      <c r="F10" s="14"/>
      <c r="H10" s="2" t="s">
        <v>30</v>
      </c>
      <c r="I10" s="26"/>
      <c r="K10" s="14">
        <v>1061617</v>
      </c>
    </row>
    <row r="11" spans="1:11" x14ac:dyDescent="0.2">
      <c r="A11" s="14"/>
      <c r="B11" s="14"/>
      <c r="D11" s="14"/>
      <c r="E11" s="14"/>
      <c r="F11" s="14"/>
      <c r="H11" s="2" t="s">
        <v>65</v>
      </c>
      <c r="I11" s="4">
        <v>80030</v>
      </c>
    </row>
    <row r="12" spans="1:11" x14ac:dyDescent="0.2">
      <c r="A12" s="14"/>
      <c r="B12" s="14"/>
      <c r="C12" s="14"/>
      <c r="D12" s="14"/>
      <c r="E12" s="14"/>
      <c r="F12" s="14"/>
      <c r="H12" s="2" t="s">
        <v>64</v>
      </c>
      <c r="I12" s="4">
        <v>160060</v>
      </c>
    </row>
    <row r="13" spans="1:11" x14ac:dyDescent="0.2">
      <c r="A13" s="14"/>
      <c r="B13" s="14"/>
      <c r="C13" s="14"/>
      <c r="D13" s="14"/>
      <c r="E13" s="14"/>
      <c r="F13" s="14"/>
      <c r="H13" s="2"/>
      <c r="I13" s="2"/>
    </row>
    <row r="14" spans="1:11" x14ac:dyDescent="0.2">
      <c r="A14" s="14"/>
      <c r="B14" s="14"/>
      <c r="C14" s="14"/>
      <c r="D14" s="14"/>
      <c r="E14" s="14"/>
      <c r="F14" s="14"/>
      <c r="H14" s="3" t="s">
        <v>9</v>
      </c>
      <c r="I14" s="6">
        <f>SUM(I10:I12)</f>
        <v>240090</v>
      </c>
    </row>
    <row r="15" spans="1:11" x14ac:dyDescent="0.2">
      <c r="A15" s="14"/>
      <c r="B15" s="14"/>
      <c r="C15" s="14"/>
      <c r="D15" s="14"/>
      <c r="E15" s="14"/>
      <c r="F15" s="14"/>
    </row>
    <row r="16" spans="1:11" x14ac:dyDescent="0.2">
      <c r="A16" s="14"/>
      <c r="B16" s="14"/>
      <c r="C16" s="14"/>
      <c r="D16" s="14"/>
      <c r="E16" s="14"/>
      <c r="F16" s="14"/>
      <c r="H16" s="1" t="s">
        <v>11</v>
      </c>
      <c r="I16" s="15">
        <v>470398</v>
      </c>
    </row>
    <row r="17" spans="1:15" x14ac:dyDescent="0.2">
      <c r="A17" s="6">
        <f t="shared" ref="A17:F17" si="0">SUM(A10:A16)</f>
        <v>0</v>
      </c>
      <c r="B17" s="6">
        <f t="shared" si="0"/>
        <v>0</v>
      </c>
      <c r="C17" s="6">
        <f t="shared" si="0"/>
        <v>9278337</v>
      </c>
      <c r="D17" s="6">
        <f t="shared" si="0"/>
        <v>129621</v>
      </c>
      <c r="E17" s="6">
        <f>SUM(E10:E16)</f>
        <v>0</v>
      </c>
      <c r="F17" s="6">
        <f t="shared" si="0"/>
        <v>0</v>
      </c>
      <c r="H17" s="1" t="s">
        <v>19</v>
      </c>
      <c r="I17" s="2"/>
    </row>
    <row r="19" spans="1:15" x14ac:dyDescent="0.2">
      <c r="K19" s="17" t="s">
        <v>36</v>
      </c>
      <c r="L19" s="17"/>
      <c r="M19" s="17"/>
      <c r="N19" s="17"/>
      <c r="O19" s="17"/>
    </row>
    <row r="20" spans="1:15" x14ac:dyDescent="0.2">
      <c r="A20" s="1" t="s">
        <v>25</v>
      </c>
      <c r="B20" s="1" t="s">
        <v>26</v>
      </c>
      <c r="C20" s="1" t="s">
        <v>27</v>
      </c>
      <c r="D20" s="1" t="s">
        <v>28</v>
      </c>
      <c r="E20" s="1" t="s">
        <v>29</v>
      </c>
      <c r="K20" s="17"/>
      <c r="L20" s="20" t="s">
        <v>35</v>
      </c>
      <c r="M20" s="20" t="s">
        <v>37</v>
      </c>
      <c r="N20" s="20" t="s">
        <v>41</v>
      </c>
      <c r="O20" s="20" t="s">
        <v>42</v>
      </c>
    </row>
    <row r="21" spans="1:15" x14ac:dyDescent="0.2">
      <c r="A21" s="4">
        <f>A17+C17+D17</f>
        <v>9407958</v>
      </c>
      <c r="B21" s="4">
        <f>B17+E17+F17</f>
        <v>0</v>
      </c>
      <c r="C21" s="4">
        <f>A21+B21</f>
        <v>9407958</v>
      </c>
      <c r="D21" s="4">
        <f>A21-I14-I16</f>
        <v>8697470</v>
      </c>
      <c r="E21" s="4">
        <f>B21-I17</f>
        <v>0</v>
      </c>
      <c r="K21" s="19" t="s">
        <v>43</v>
      </c>
      <c r="L21" s="4">
        <f>'Tax Prove Jan'!D24</f>
        <v>10086851</v>
      </c>
      <c r="M21" s="4">
        <f>'Tax Prove Jan'!E24</f>
        <v>0</v>
      </c>
      <c r="N21" s="4">
        <f>'Tax Prove Jan'!E41</f>
        <v>338027</v>
      </c>
      <c r="O21" s="4">
        <f>'Tax Prove Jan'!E40</f>
        <v>0</v>
      </c>
    </row>
    <row r="22" spans="1:15" x14ac:dyDescent="0.2">
      <c r="A22" s="9"/>
      <c r="B22" s="9"/>
      <c r="C22" s="9"/>
      <c r="D22" s="9"/>
      <c r="E22" s="9"/>
      <c r="K22" s="19" t="s">
        <v>44</v>
      </c>
      <c r="L22" s="2"/>
      <c r="M22" s="2"/>
      <c r="N22" s="2"/>
      <c r="O22" s="2"/>
    </row>
    <row r="23" spans="1:15" ht="19.5" x14ac:dyDescent="0.3">
      <c r="D23" s="27">
        <v>3</v>
      </c>
      <c r="K23" s="19" t="s">
        <v>38</v>
      </c>
      <c r="L23" s="4"/>
      <c r="M23" s="4"/>
      <c r="N23" s="4"/>
      <c r="O23" s="4"/>
    </row>
    <row r="24" spans="1:15" x14ac:dyDescent="0.2">
      <c r="A24" s="1" t="s">
        <v>34</v>
      </c>
      <c r="B24" s="1" t="s">
        <v>33</v>
      </c>
      <c r="C24" s="1" t="s">
        <v>32</v>
      </c>
      <c r="D24" s="1" t="s">
        <v>66</v>
      </c>
      <c r="E24" s="1" t="s">
        <v>31</v>
      </c>
      <c r="F24" s="1" t="s">
        <v>58</v>
      </c>
      <c r="K24" s="19" t="s">
        <v>39</v>
      </c>
      <c r="L24" s="4"/>
      <c r="M24" s="4"/>
      <c r="N24" s="4"/>
      <c r="O24" s="4"/>
    </row>
    <row r="25" spans="1:15" x14ac:dyDescent="0.2">
      <c r="A25" s="4">
        <f>(D21+L33)*B4/B6</f>
        <v>112705926</v>
      </c>
      <c r="B25" s="4">
        <f>E21</f>
        <v>0</v>
      </c>
      <c r="C25" s="4">
        <f>A25+B25</f>
        <v>112705926</v>
      </c>
      <c r="D25" s="9">
        <v>54000000</v>
      </c>
      <c r="E25" s="4">
        <f>C25-D25</f>
        <v>58705926</v>
      </c>
      <c r="F25" s="4">
        <f>E25-B25</f>
        <v>58705926</v>
      </c>
      <c r="K25" s="19" t="s">
        <v>40</v>
      </c>
      <c r="L25" s="4"/>
      <c r="M25" s="4"/>
      <c r="N25" s="4"/>
      <c r="O25" s="4"/>
    </row>
    <row r="26" spans="1:15" x14ac:dyDescent="0.2">
      <c r="K26" s="19" t="s">
        <v>45</v>
      </c>
      <c r="L26" s="2"/>
      <c r="M26" s="2"/>
      <c r="N26" s="2"/>
      <c r="O26" s="2"/>
    </row>
    <row r="27" spans="1:15" x14ac:dyDescent="0.2">
      <c r="A27" t="s">
        <v>20</v>
      </c>
      <c r="E27" s="1" t="s">
        <v>53</v>
      </c>
      <c r="F27" s="1" t="s">
        <v>59</v>
      </c>
      <c r="K27" s="19" t="s">
        <v>46</v>
      </c>
      <c r="L27" s="2"/>
      <c r="M27" s="2"/>
      <c r="N27" s="2"/>
      <c r="O27" s="2"/>
    </row>
    <row r="28" spans="1:15" x14ac:dyDescent="0.2">
      <c r="A28" s="1" t="s">
        <v>12</v>
      </c>
      <c r="B28" s="1" t="s">
        <v>13</v>
      </c>
      <c r="C28" s="1" t="s">
        <v>8</v>
      </c>
      <c r="E28" s="4">
        <f>E25/1000</f>
        <v>58705.925999999999</v>
      </c>
      <c r="F28" s="4">
        <f>F25/1000</f>
        <v>58705.925999999999</v>
      </c>
      <c r="K28" s="19" t="s">
        <v>47</v>
      </c>
      <c r="L28" s="2"/>
      <c r="M28" s="2"/>
      <c r="N28" s="2"/>
      <c r="O28" s="2"/>
    </row>
    <row r="29" spans="1:15" x14ac:dyDescent="0.2">
      <c r="A29" s="7">
        <v>60000000</v>
      </c>
      <c r="B29" s="5">
        <v>0.05</v>
      </c>
      <c r="C29" s="4">
        <f>A29*B29</f>
        <v>3000000</v>
      </c>
      <c r="D29" s="9"/>
      <c r="E29" s="2">
        <f>ROUND(E28,0)</f>
        <v>58706</v>
      </c>
      <c r="F29" s="2">
        <f>ROUND(F28,0)</f>
        <v>58706</v>
      </c>
      <c r="K29" s="19" t="s">
        <v>48</v>
      </c>
      <c r="L29" s="2"/>
      <c r="M29" s="2"/>
      <c r="N29" s="2"/>
      <c r="O29" s="2"/>
    </row>
    <row r="30" spans="1:15" x14ac:dyDescent="0.2">
      <c r="A30" s="7">
        <f>F25-A29</f>
        <v>-1294074</v>
      </c>
      <c r="B30" s="5">
        <v>0.15</v>
      </c>
      <c r="C30" s="4">
        <f>A30*B30</f>
        <v>-194111.1</v>
      </c>
      <c r="D30" s="9"/>
      <c r="E30" s="22">
        <f>ROUNDDOWN(E25,-3)</f>
        <v>58705000</v>
      </c>
      <c r="F30" s="22">
        <f>ROUNDDOWN(F25,-3)</f>
        <v>58705000</v>
      </c>
      <c r="K30" s="19" t="s">
        <v>49</v>
      </c>
      <c r="L30" s="2"/>
      <c r="M30" s="2"/>
      <c r="N30" s="2"/>
      <c r="O30" s="2"/>
    </row>
    <row r="31" spans="1:15" x14ac:dyDescent="0.2">
      <c r="A31" s="7"/>
      <c r="B31" s="5">
        <v>0.25</v>
      </c>
      <c r="C31" s="4">
        <f>A31*B31</f>
        <v>0</v>
      </c>
      <c r="D31" s="9"/>
      <c r="E31" s="21"/>
      <c r="K31" s="19" t="s">
        <v>50</v>
      </c>
      <c r="L31" s="2"/>
      <c r="M31" s="2"/>
      <c r="N31" s="2"/>
      <c r="O31" s="2"/>
    </row>
    <row r="32" spans="1:15" x14ac:dyDescent="0.2">
      <c r="A32" s="7"/>
      <c r="B32" s="5">
        <v>0.3</v>
      </c>
      <c r="C32" s="4">
        <f>A32*B32</f>
        <v>0</v>
      </c>
      <c r="D32" s="9"/>
      <c r="E32" s="21"/>
      <c r="K32" s="19" t="s">
        <v>51</v>
      </c>
      <c r="L32" s="2"/>
      <c r="M32" s="2"/>
      <c r="N32" s="2"/>
      <c r="O32" s="2"/>
    </row>
    <row r="33" spans="1:15" x14ac:dyDescent="0.2">
      <c r="A33" s="7"/>
      <c r="B33" s="5"/>
      <c r="C33" s="4">
        <f>A33*0.35</f>
        <v>0</v>
      </c>
      <c r="D33" s="9"/>
      <c r="E33" s="10"/>
      <c r="K33" s="18" t="s">
        <v>52</v>
      </c>
      <c r="L33" s="22">
        <f>SUM(L21:L32)</f>
        <v>10086851</v>
      </c>
      <c r="M33" s="22">
        <f>SUM(M21:M32)</f>
        <v>0</v>
      </c>
      <c r="N33" s="22">
        <f>SUM(N21:N32)</f>
        <v>338027</v>
      </c>
      <c r="O33" s="22">
        <f>SUM(O21:O32)</f>
        <v>0</v>
      </c>
    </row>
    <row r="34" spans="1:15" x14ac:dyDescent="0.2">
      <c r="A34" s="33" t="s">
        <v>14</v>
      </c>
      <c r="B34" s="34"/>
      <c r="C34" s="6">
        <f>SUM(C29:C33)</f>
        <v>2805888.9</v>
      </c>
      <c r="D34" s="39"/>
      <c r="E34" s="39"/>
    </row>
    <row r="35" spans="1:15" ht="19.5" x14ac:dyDescent="0.3">
      <c r="D35" s="36">
        <v>4</v>
      </c>
      <c r="E35" s="36"/>
      <c r="F35" s="36"/>
    </row>
    <row r="36" spans="1:15" x14ac:dyDescent="0.2">
      <c r="E36" s="29" t="s">
        <v>68</v>
      </c>
      <c r="F36" s="29" t="s">
        <v>60</v>
      </c>
    </row>
    <row r="37" spans="1:15" x14ac:dyDescent="0.2">
      <c r="A37" s="1" t="s">
        <v>15</v>
      </c>
      <c r="B37" s="4">
        <f>C34-C48</f>
        <v>0</v>
      </c>
      <c r="D37" s="1" t="s">
        <v>17</v>
      </c>
      <c r="E37" s="4">
        <f>C34-B38</f>
        <v>0</v>
      </c>
      <c r="F37" s="4">
        <f>E37-F10</f>
        <v>0</v>
      </c>
    </row>
    <row r="38" spans="1:15" x14ac:dyDescent="0.2">
      <c r="A38" s="1" t="s">
        <v>16</v>
      </c>
      <c r="B38" s="4">
        <f>C48</f>
        <v>2805888.9</v>
      </c>
      <c r="D38" s="1" t="s">
        <v>18</v>
      </c>
      <c r="E38" s="4">
        <f>ROUNDDOWN(((B38)*(B6/B4)),0)-N33</f>
        <v>129621</v>
      </c>
      <c r="F38" s="4">
        <f>E38-D10</f>
        <v>0</v>
      </c>
    </row>
    <row r="39" spans="1:15" x14ac:dyDescent="0.2">
      <c r="D39" s="12" t="s">
        <v>23</v>
      </c>
      <c r="E39" s="4">
        <f>E37+E38</f>
        <v>129621</v>
      </c>
      <c r="F39" s="2"/>
      <c r="H39" s="9"/>
    </row>
    <row r="40" spans="1:15" x14ac:dyDescent="0.2">
      <c r="H40" s="9"/>
    </row>
    <row r="41" spans="1:15" x14ac:dyDescent="0.2">
      <c r="A41" t="s">
        <v>21</v>
      </c>
      <c r="D41" s="24" t="s">
        <v>75</v>
      </c>
    </row>
    <row r="42" spans="1:15" x14ac:dyDescent="0.2">
      <c r="A42" s="1" t="s">
        <v>12</v>
      </c>
      <c r="B42" s="1" t="s">
        <v>13</v>
      </c>
      <c r="C42" s="1" t="s">
        <v>8</v>
      </c>
      <c r="D42" t="s">
        <v>70</v>
      </c>
      <c r="E42" s="13"/>
    </row>
    <row r="43" spans="1:15" x14ac:dyDescent="0.2">
      <c r="A43" s="7">
        <v>60000000</v>
      </c>
      <c r="B43" s="5">
        <v>0.05</v>
      </c>
      <c r="C43" s="4">
        <f>A43*0.05</f>
        <v>3000000</v>
      </c>
      <c r="D43" t="s">
        <v>71</v>
      </c>
      <c r="F43" s="9"/>
      <c r="G43" s="9"/>
    </row>
    <row r="44" spans="1:15" x14ac:dyDescent="0.2">
      <c r="A44" s="7">
        <f>A30</f>
        <v>-1294074</v>
      </c>
      <c r="B44" s="5">
        <v>0.15</v>
      </c>
      <c r="C44" s="4">
        <f>A44*0.15</f>
        <v>-194111.1</v>
      </c>
      <c r="D44" t="s">
        <v>72</v>
      </c>
    </row>
    <row r="45" spans="1:15" x14ac:dyDescent="0.2">
      <c r="A45" s="7">
        <f>A31</f>
        <v>0</v>
      </c>
      <c r="B45" s="5">
        <v>0.25</v>
      </c>
      <c r="C45" s="4">
        <f>A45*0.25</f>
        <v>0</v>
      </c>
      <c r="D45" t="s">
        <v>73</v>
      </c>
      <c r="E45" s="8"/>
      <c r="F45" s="9"/>
      <c r="G45" s="9"/>
    </row>
    <row r="46" spans="1:15" x14ac:dyDescent="0.2">
      <c r="A46" s="7"/>
      <c r="B46" s="5">
        <v>0.3</v>
      </c>
      <c r="C46" s="4">
        <f>A46*0.3</f>
        <v>0</v>
      </c>
      <c r="F46" s="9"/>
      <c r="G46" s="9"/>
    </row>
    <row r="47" spans="1:15" x14ac:dyDescent="0.2">
      <c r="A47" s="7"/>
      <c r="B47" s="5"/>
      <c r="C47" s="4">
        <f>A47*0.35</f>
        <v>0</v>
      </c>
      <c r="F47" s="9"/>
      <c r="G47" s="9"/>
      <c r="J47" s="9"/>
    </row>
    <row r="48" spans="1:15" x14ac:dyDescent="0.2">
      <c r="A48" s="33" t="s">
        <v>22</v>
      </c>
      <c r="B48" s="34"/>
      <c r="C48" s="6">
        <f>SUM(C43:C47)</f>
        <v>2805888.9</v>
      </c>
      <c r="D48" s="24" t="s">
        <v>69</v>
      </c>
      <c r="F48" s="9"/>
      <c r="G48" s="9"/>
    </row>
    <row r="49" spans="4:7" x14ac:dyDescent="0.2">
      <c r="D49" t="s">
        <v>70</v>
      </c>
      <c r="F49" s="9"/>
      <c r="G49" s="9"/>
    </row>
    <row r="50" spans="4:7" x14ac:dyDescent="0.2">
      <c r="D50" t="s">
        <v>71</v>
      </c>
      <c r="F50" s="9"/>
      <c r="G50" s="9"/>
    </row>
    <row r="51" spans="4:7" x14ac:dyDescent="0.2">
      <c r="D51" t="s">
        <v>72</v>
      </c>
    </row>
    <row r="52" spans="4:7" x14ac:dyDescent="0.2">
      <c r="D52" t="s">
        <v>73</v>
      </c>
    </row>
    <row r="53" spans="4:7" x14ac:dyDescent="0.2">
      <c r="D53" t="s">
        <v>74</v>
      </c>
    </row>
  </sheetData>
  <mergeCells count="7">
    <mergeCell ref="A48:B48"/>
    <mergeCell ref="D35:F35"/>
    <mergeCell ref="B2:D2"/>
    <mergeCell ref="A8:F8"/>
    <mergeCell ref="H8:I8"/>
    <mergeCell ref="A34:B34"/>
    <mergeCell ref="D34:E34"/>
  </mergeCells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Tax Prove Jan</vt:lpstr>
      <vt:lpstr>Tax Prove Feb</vt:lpstr>
    </vt:vector>
  </TitlesOfParts>
  <Company>Freelance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Heriyas</dc:creator>
  <cp:lastModifiedBy>Bintar M</cp:lastModifiedBy>
  <cp:lastPrinted>2016-12-21T10:55:27Z</cp:lastPrinted>
  <dcterms:created xsi:type="dcterms:W3CDTF">2005-07-22T07:02:00Z</dcterms:created>
  <dcterms:modified xsi:type="dcterms:W3CDTF">2024-03-19T10:05:56Z</dcterms:modified>
</cp:coreProperties>
</file>