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dy\Downloads\"/>
    </mc:Choice>
  </mc:AlternateContent>
  <xr:revisionPtr revIDLastSave="0" documentId="13_ncr:1_{69D8DEDA-87F9-4B87-995F-FC03D3A02CB8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SLIP" sheetId="3" r:id="rId1"/>
    <sheet name="REPORT GAJI" sheetId="5" r:id="rId2"/>
    <sheet name="BPJS HEALTH REPORT" sheetId="6" r:id="rId3"/>
    <sheet name="BPJS TK REPORT" sheetId="7" r:id="rId4"/>
    <sheet name="REPORT TAX PER EMPL" sheetId="8" r:id="rId5"/>
    <sheet name="Sheet1" sheetId="11" r:id="rId6"/>
    <sheet name="DIV CODE N GRADE" sheetId="10" r:id="rId7"/>
  </sheets>
  <calcPr calcId="181029"/>
</workbook>
</file>

<file path=xl/calcChain.xml><?xml version="1.0" encoding="utf-8"?>
<calcChain xmlns="http://schemas.openxmlformats.org/spreadsheetml/2006/main">
  <c r="AI10" i="5" l="1"/>
  <c r="M12" i="8"/>
  <c r="J12" i="8"/>
  <c r="AI35" i="8"/>
  <c r="AI11" i="8"/>
  <c r="N25" i="8"/>
  <c r="AL17" i="8"/>
  <c r="AF4" i="8"/>
  <c r="I70" i="8"/>
  <c r="L10" i="8"/>
  <c r="J118" i="8" l="1"/>
  <c r="J116" i="8"/>
  <c r="J115" i="8"/>
  <c r="J111" i="8"/>
  <c r="J147" i="8"/>
  <c r="J145" i="8"/>
  <c r="J138" i="8"/>
  <c r="J137" i="8"/>
  <c r="J136" i="8"/>
  <c r="R122" i="8"/>
  <c r="R121" i="8"/>
  <c r="R120" i="8"/>
  <c r="R119" i="8"/>
  <c r="R118" i="8"/>
  <c r="R117" i="8"/>
  <c r="R116" i="8"/>
  <c r="K122" i="8"/>
  <c r="K121" i="8"/>
  <c r="K120" i="8"/>
  <c r="K119" i="8"/>
  <c r="K118" i="8"/>
  <c r="K117" i="8"/>
  <c r="K116" i="8"/>
  <c r="K147" i="8"/>
  <c r="K146" i="8"/>
  <c r="K145" i="8"/>
  <c r="K144" i="8"/>
  <c r="K143" i="8"/>
  <c r="K142" i="8"/>
  <c r="K141" i="8"/>
  <c r="K140" i="8"/>
  <c r="S147" i="8"/>
  <c r="R147" i="8"/>
  <c r="S146" i="8"/>
  <c r="R146" i="8"/>
  <c r="S145" i="8"/>
  <c r="R145" i="8"/>
  <c r="S144" i="8"/>
  <c r="R144" i="8"/>
  <c r="S143" i="8"/>
  <c r="R143" i="8"/>
  <c r="T143" i="8" s="1"/>
  <c r="S142" i="8"/>
  <c r="R142" i="8"/>
  <c r="S141" i="8"/>
  <c r="R141" i="8"/>
  <c r="S140" i="8"/>
  <c r="R140" i="8"/>
  <c r="L140" i="8"/>
  <c r="D136" i="8"/>
  <c r="K136" i="8" s="1"/>
  <c r="S122" i="8"/>
  <c r="S121" i="8"/>
  <c r="S120" i="8"/>
  <c r="S119" i="8"/>
  <c r="S118" i="8"/>
  <c r="S117" i="8"/>
  <c r="S116" i="8"/>
  <c r="S115" i="8"/>
  <c r="E115" i="8"/>
  <c r="K115" i="8" s="1"/>
  <c r="G22" i="8"/>
  <c r="G47" i="8"/>
  <c r="G72" i="8"/>
  <c r="G98" i="8"/>
  <c r="G123" i="8"/>
  <c r="G148" i="8"/>
  <c r="Y148" i="8"/>
  <c r="H148" i="8"/>
  <c r="F148" i="8"/>
  <c r="D148" i="8"/>
  <c r="AH147" i="8"/>
  <c r="AA147" i="8"/>
  <c r="AA148" i="8" s="1"/>
  <c r="L147" i="8"/>
  <c r="I147" i="8"/>
  <c r="AH146" i="8"/>
  <c r="AA146" i="8"/>
  <c r="L146" i="8"/>
  <c r="I146" i="8"/>
  <c r="J146" i="8" s="1"/>
  <c r="AH145" i="8"/>
  <c r="AA145" i="8"/>
  <c r="L145" i="8"/>
  <c r="I145" i="8"/>
  <c r="AH144" i="8"/>
  <c r="AA144" i="8"/>
  <c r="L144" i="8"/>
  <c r="I144" i="8"/>
  <c r="J144" i="8" s="1"/>
  <c r="AH143" i="8"/>
  <c r="AA143" i="8"/>
  <c r="L143" i="8"/>
  <c r="I143" i="8"/>
  <c r="J143" i="8" s="1"/>
  <c r="AH142" i="8"/>
  <c r="AA142" i="8"/>
  <c r="L142" i="8"/>
  <c r="I142" i="8"/>
  <c r="J142" i="8" s="1"/>
  <c r="AH141" i="8"/>
  <c r="AA141" i="8"/>
  <c r="L141" i="8"/>
  <c r="I141" i="8"/>
  <c r="J141" i="8" s="1"/>
  <c r="AH140" i="8"/>
  <c r="AA140" i="8"/>
  <c r="I140" i="8"/>
  <c r="J140" i="8" s="1"/>
  <c r="AH139" i="8"/>
  <c r="AA139" i="8"/>
  <c r="S139" i="8"/>
  <c r="R139" i="8"/>
  <c r="L139" i="8"/>
  <c r="K139" i="8"/>
  <c r="I139" i="8"/>
  <c r="J139" i="8" s="1"/>
  <c r="AH138" i="8"/>
  <c r="AA138" i="8"/>
  <c r="S138" i="8"/>
  <c r="R138" i="8"/>
  <c r="L138" i="8"/>
  <c r="K138" i="8"/>
  <c r="I138" i="8"/>
  <c r="AH137" i="8"/>
  <c r="AA137" i="8"/>
  <c r="S137" i="8"/>
  <c r="R137" i="8"/>
  <c r="L137" i="8"/>
  <c r="K137" i="8"/>
  <c r="I137" i="8"/>
  <c r="AA136" i="8"/>
  <c r="S136" i="8"/>
  <c r="N148" i="8"/>
  <c r="L136" i="8"/>
  <c r="I136" i="8"/>
  <c r="Y123" i="8"/>
  <c r="N123" i="8"/>
  <c r="H123" i="8"/>
  <c r="F123" i="8"/>
  <c r="D123" i="8"/>
  <c r="AH122" i="8"/>
  <c r="AA122" i="8"/>
  <c r="AA123" i="8" s="1"/>
  <c r="L122" i="8"/>
  <c r="I122" i="8"/>
  <c r="J122" i="8" s="1"/>
  <c r="AH121" i="8"/>
  <c r="AA121" i="8"/>
  <c r="L121" i="8"/>
  <c r="I121" i="8"/>
  <c r="J121" i="8" s="1"/>
  <c r="AH120" i="8"/>
  <c r="AA120" i="8"/>
  <c r="L120" i="8"/>
  <c r="I120" i="8"/>
  <c r="J120" i="8" s="1"/>
  <c r="AH119" i="8"/>
  <c r="AA119" i="8"/>
  <c r="L119" i="8"/>
  <c r="I119" i="8"/>
  <c r="J119" i="8" s="1"/>
  <c r="AH118" i="8"/>
  <c r="AA118" i="8"/>
  <c r="L118" i="8"/>
  <c r="I118" i="8"/>
  <c r="AH117" i="8"/>
  <c r="AA117" i="8"/>
  <c r="L117" i="8"/>
  <c r="I117" i="8"/>
  <c r="AH116" i="8"/>
  <c r="AA116" i="8"/>
  <c r="L116" i="8"/>
  <c r="I116" i="8"/>
  <c r="AH115" i="8"/>
  <c r="AA115" i="8"/>
  <c r="L115" i="8"/>
  <c r="I115" i="8"/>
  <c r="AH114" i="8"/>
  <c r="AA114" i="8"/>
  <c r="S114" i="8"/>
  <c r="R114" i="8"/>
  <c r="L114" i="8"/>
  <c r="K114" i="8"/>
  <c r="I114" i="8"/>
  <c r="J114" i="8" s="1"/>
  <c r="AH113" i="8"/>
  <c r="AA113" i="8"/>
  <c r="S113" i="8"/>
  <c r="R113" i="8"/>
  <c r="L113" i="8"/>
  <c r="K113" i="8"/>
  <c r="I113" i="8"/>
  <c r="J113" i="8" s="1"/>
  <c r="AH112" i="8"/>
  <c r="AA112" i="8"/>
  <c r="S112" i="8"/>
  <c r="R112" i="8"/>
  <c r="L112" i="8"/>
  <c r="K112" i="8"/>
  <c r="I112" i="8"/>
  <c r="J112" i="8" s="1"/>
  <c r="AA111" i="8"/>
  <c r="O111" i="8"/>
  <c r="O112" i="8" s="1"/>
  <c r="O113" i="8" s="1"/>
  <c r="O114" i="8" s="1"/>
  <c r="O115" i="8" s="1"/>
  <c r="O116" i="8" s="1"/>
  <c r="O117" i="8" s="1"/>
  <c r="O118" i="8" s="1"/>
  <c r="O119" i="8" s="1"/>
  <c r="O120" i="8" s="1"/>
  <c r="O121" i="8" s="1"/>
  <c r="O122" i="8" s="1"/>
  <c r="O123" i="8" s="1"/>
  <c r="L111" i="8"/>
  <c r="K111" i="8"/>
  <c r="I111" i="8"/>
  <c r="S111" i="8"/>
  <c r="Y98" i="8"/>
  <c r="H98" i="8"/>
  <c r="F98" i="8"/>
  <c r="AH97" i="8"/>
  <c r="AA97" i="8"/>
  <c r="AA98" i="8" s="1"/>
  <c r="S97" i="8"/>
  <c r="R97" i="8"/>
  <c r="L97" i="8"/>
  <c r="K97" i="8"/>
  <c r="I97" i="8"/>
  <c r="AH96" i="8"/>
  <c r="AA96" i="8"/>
  <c r="S96" i="8"/>
  <c r="R96" i="8"/>
  <c r="L96" i="8"/>
  <c r="K96" i="8"/>
  <c r="I96" i="8"/>
  <c r="AH95" i="8"/>
  <c r="AA95" i="8"/>
  <c r="S95" i="8"/>
  <c r="R95" i="8"/>
  <c r="L95" i="8"/>
  <c r="K95" i="8"/>
  <c r="I95" i="8"/>
  <c r="AH94" i="8"/>
  <c r="AA94" i="8"/>
  <c r="S94" i="8"/>
  <c r="R94" i="8"/>
  <c r="L94" i="8"/>
  <c r="K94" i="8"/>
  <c r="I94" i="8"/>
  <c r="J94" i="8" s="1"/>
  <c r="AH93" i="8"/>
  <c r="AA93" i="8"/>
  <c r="S93" i="8"/>
  <c r="R93" i="8"/>
  <c r="L93" i="8"/>
  <c r="K93" i="8"/>
  <c r="I93" i="8"/>
  <c r="J93" i="8" s="1"/>
  <c r="AH92" i="8"/>
  <c r="AA92" i="8"/>
  <c r="S92" i="8"/>
  <c r="R92" i="8"/>
  <c r="L92" i="8"/>
  <c r="K92" i="8"/>
  <c r="I92" i="8"/>
  <c r="J92" i="8" s="1"/>
  <c r="AH91" i="8"/>
  <c r="AA91" i="8"/>
  <c r="S91" i="8"/>
  <c r="R91" i="8"/>
  <c r="L91" i="8"/>
  <c r="K91" i="8"/>
  <c r="I91" i="8"/>
  <c r="J91" i="8" s="1"/>
  <c r="AH90" i="8"/>
  <c r="AA90" i="8"/>
  <c r="S90" i="8"/>
  <c r="R90" i="8"/>
  <c r="L90" i="8"/>
  <c r="K90" i="8"/>
  <c r="I90" i="8"/>
  <c r="J90" i="8" s="1"/>
  <c r="AH89" i="8"/>
  <c r="AA89" i="8"/>
  <c r="S89" i="8"/>
  <c r="R89" i="8"/>
  <c r="L89" i="8"/>
  <c r="K89" i="8"/>
  <c r="I89" i="8"/>
  <c r="AH88" i="8"/>
  <c r="AA88" i="8"/>
  <c r="S88" i="8"/>
  <c r="R88" i="8"/>
  <c r="L88" i="8"/>
  <c r="K88" i="8"/>
  <c r="I88" i="8"/>
  <c r="AH87" i="8"/>
  <c r="AA87" i="8"/>
  <c r="S87" i="8"/>
  <c r="R87" i="8"/>
  <c r="L87" i="8"/>
  <c r="K87" i="8"/>
  <c r="I87" i="8"/>
  <c r="AA86" i="8"/>
  <c r="I86" i="8"/>
  <c r="D86" i="8"/>
  <c r="S86" i="8" s="1"/>
  <c r="Y72" i="8"/>
  <c r="N72" i="8"/>
  <c r="H72" i="8"/>
  <c r="F72" i="8"/>
  <c r="AH71" i="8"/>
  <c r="AA71" i="8"/>
  <c r="AA72" i="8" s="1"/>
  <c r="S71" i="8"/>
  <c r="R71" i="8"/>
  <c r="L71" i="8"/>
  <c r="K71" i="8"/>
  <c r="I71" i="8"/>
  <c r="AH70" i="8"/>
  <c r="AA70" i="8"/>
  <c r="S70" i="8"/>
  <c r="R70" i="8"/>
  <c r="L70" i="8"/>
  <c r="K70" i="8"/>
  <c r="AH69" i="8"/>
  <c r="AA69" i="8"/>
  <c r="S69" i="8"/>
  <c r="R69" i="8"/>
  <c r="L69" i="8"/>
  <c r="K69" i="8"/>
  <c r="I69" i="8"/>
  <c r="J69" i="8" s="1"/>
  <c r="AH68" i="8"/>
  <c r="AA68" i="8"/>
  <c r="S68" i="8"/>
  <c r="R68" i="8"/>
  <c r="L68" i="8"/>
  <c r="K68" i="8"/>
  <c r="I68" i="8"/>
  <c r="J68" i="8" s="1"/>
  <c r="AH67" i="8"/>
  <c r="AA67" i="8"/>
  <c r="S67" i="8"/>
  <c r="R67" i="8"/>
  <c r="L67" i="8"/>
  <c r="K67" i="8"/>
  <c r="I67" i="8"/>
  <c r="J67" i="8" s="1"/>
  <c r="AH66" i="8"/>
  <c r="AA66" i="8"/>
  <c r="S66" i="8"/>
  <c r="R66" i="8"/>
  <c r="L66" i="8"/>
  <c r="K66" i="8"/>
  <c r="I66" i="8"/>
  <c r="J66" i="8" s="1"/>
  <c r="AH65" i="8"/>
  <c r="AA65" i="8"/>
  <c r="S65" i="8"/>
  <c r="R65" i="8"/>
  <c r="L65" i="8"/>
  <c r="K65" i="8"/>
  <c r="I65" i="8"/>
  <c r="AH64" i="8"/>
  <c r="AA64" i="8"/>
  <c r="S64" i="8"/>
  <c r="R64" i="8"/>
  <c r="L64" i="8"/>
  <c r="K64" i="8"/>
  <c r="I64" i="8"/>
  <c r="J64" i="8" s="1"/>
  <c r="AH63" i="8"/>
  <c r="AA63" i="8"/>
  <c r="S63" i="8"/>
  <c r="R63" i="8"/>
  <c r="L63" i="8"/>
  <c r="K63" i="8"/>
  <c r="I63" i="8"/>
  <c r="AH62" i="8"/>
  <c r="AA62" i="8"/>
  <c r="S62" i="8"/>
  <c r="R62" i="8"/>
  <c r="L62" i="8"/>
  <c r="K62" i="8"/>
  <c r="I62" i="8"/>
  <c r="AH61" i="8"/>
  <c r="AA61" i="8"/>
  <c r="S61" i="8"/>
  <c r="R61" i="8"/>
  <c r="L61" i="8"/>
  <c r="K61" i="8"/>
  <c r="I61" i="8"/>
  <c r="J61" i="8" s="1"/>
  <c r="AA60" i="8"/>
  <c r="O60" i="8"/>
  <c r="O61" i="8" s="1"/>
  <c r="O62" i="8" s="1"/>
  <c r="O63" i="8" s="1"/>
  <c r="O64" i="8" s="1"/>
  <c r="O65" i="8" s="1"/>
  <c r="O66" i="8" s="1"/>
  <c r="O67" i="8" s="1"/>
  <c r="O68" i="8" s="1"/>
  <c r="O69" i="8" s="1"/>
  <c r="O70" i="8" s="1"/>
  <c r="O71" i="8" s="1"/>
  <c r="O72" i="8" s="1"/>
  <c r="I60" i="8"/>
  <c r="D60" i="8"/>
  <c r="S60" i="8" s="1"/>
  <c r="Y47" i="8"/>
  <c r="H47" i="8"/>
  <c r="F47" i="8"/>
  <c r="AH46" i="8"/>
  <c r="AA46" i="8"/>
  <c r="AA47" i="8" s="1"/>
  <c r="S46" i="8"/>
  <c r="R46" i="8"/>
  <c r="L46" i="8"/>
  <c r="K46" i="8"/>
  <c r="I46" i="8"/>
  <c r="J46" i="8" s="1"/>
  <c r="AH45" i="8"/>
  <c r="AA45" i="8"/>
  <c r="S45" i="8"/>
  <c r="R45" i="8"/>
  <c r="L45" i="8"/>
  <c r="K45" i="8"/>
  <c r="I45" i="8"/>
  <c r="J45" i="8" s="1"/>
  <c r="AH44" i="8"/>
  <c r="AA44" i="8"/>
  <c r="S44" i="8"/>
  <c r="R44" i="8"/>
  <c r="L44" i="8"/>
  <c r="K44" i="8"/>
  <c r="I44" i="8"/>
  <c r="J44" i="8" s="1"/>
  <c r="AH43" i="8"/>
  <c r="AA43" i="8"/>
  <c r="S43" i="8"/>
  <c r="R43" i="8"/>
  <c r="L43" i="8"/>
  <c r="K43" i="8"/>
  <c r="I43" i="8"/>
  <c r="J43" i="8" s="1"/>
  <c r="AH42" i="8"/>
  <c r="AA42" i="8"/>
  <c r="S42" i="8"/>
  <c r="R42" i="8"/>
  <c r="L42" i="8"/>
  <c r="K42" i="8"/>
  <c r="I42" i="8"/>
  <c r="AH41" i="8"/>
  <c r="AA41" i="8"/>
  <c r="S41" i="8"/>
  <c r="R41" i="8"/>
  <c r="L41" i="8"/>
  <c r="K41" i="8"/>
  <c r="I41" i="8"/>
  <c r="AH40" i="8"/>
  <c r="AA40" i="8"/>
  <c r="S40" i="8"/>
  <c r="R40" i="8"/>
  <c r="L40" i="8"/>
  <c r="K40" i="8"/>
  <c r="I40" i="8"/>
  <c r="AH39" i="8"/>
  <c r="AA39" i="8"/>
  <c r="S39" i="8"/>
  <c r="R39" i="8"/>
  <c r="L39" i="8"/>
  <c r="K39" i="8"/>
  <c r="I39" i="8"/>
  <c r="AH38" i="8"/>
  <c r="AA38" i="8"/>
  <c r="S38" i="8"/>
  <c r="R38" i="8"/>
  <c r="L38" i="8"/>
  <c r="K38" i="8"/>
  <c r="I38" i="8"/>
  <c r="J38" i="8" s="1"/>
  <c r="AH37" i="8"/>
  <c r="AA37" i="8"/>
  <c r="S37" i="8"/>
  <c r="R37" i="8"/>
  <c r="L37" i="8"/>
  <c r="K37" i="8"/>
  <c r="I37" i="8"/>
  <c r="J37" i="8" s="1"/>
  <c r="AH36" i="8"/>
  <c r="AA36" i="8"/>
  <c r="S36" i="8"/>
  <c r="R36" i="8"/>
  <c r="L36" i="8"/>
  <c r="K36" i="8"/>
  <c r="I36" i="8"/>
  <c r="J36" i="8" s="1"/>
  <c r="AA35" i="8"/>
  <c r="I35" i="8"/>
  <c r="D35" i="8"/>
  <c r="L35" i="8" s="1"/>
  <c r="D10" i="8"/>
  <c r="R115" i="8" l="1"/>
  <c r="J117" i="8"/>
  <c r="T140" i="8"/>
  <c r="T137" i="8"/>
  <c r="T113" i="8"/>
  <c r="T93" i="8"/>
  <c r="T120" i="8"/>
  <c r="T118" i="8"/>
  <c r="T138" i="8"/>
  <c r="T119" i="8"/>
  <c r="T94" i="8"/>
  <c r="L60" i="8"/>
  <c r="L72" i="8" s="1"/>
  <c r="D47" i="8"/>
  <c r="T144" i="8"/>
  <c r="K60" i="8"/>
  <c r="K72" i="8" s="1"/>
  <c r="D72" i="8"/>
  <c r="T96" i="8"/>
  <c r="I148" i="8"/>
  <c r="T139" i="8"/>
  <c r="N86" i="8"/>
  <c r="K10" i="8"/>
  <c r="T37" i="8"/>
  <c r="T45" i="8"/>
  <c r="T91" i="8"/>
  <c r="T142" i="8"/>
  <c r="T145" i="8"/>
  <c r="J86" i="8"/>
  <c r="K86" i="8"/>
  <c r="M86" i="8" s="1"/>
  <c r="M87" i="8" s="1"/>
  <c r="N35" i="8"/>
  <c r="T141" i="8"/>
  <c r="T69" i="8"/>
  <c r="S10" i="8"/>
  <c r="L86" i="8"/>
  <c r="R10" i="8"/>
  <c r="T147" i="8"/>
  <c r="T64" i="8"/>
  <c r="S148" i="8"/>
  <c r="T146" i="8"/>
  <c r="T39" i="8"/>
  <c r="T66" i="8"/>
  <c r="T88" i="8"/>
  <c r="T97" i="8"/>
  <c r="T116" i="8"/>
  <c r="T36" i="8"/>
  <c r="T44" i="8"/>
  <c r="I123" i="8"/>
  <c r="T43" i="8"/>
  <c r="T62" i="8"/>
  <c r="T71" i="8"/>
  <c r="K123" i="8"/>
  <c r="T46" i="8"/>
  <c r="T68" i="8"/>
  <c r="T67" i="8"/>
  <c r="T89" i="8"/>
  <c r="T117" i="8"/>
  <c r="T38" i="8"/>
  <c r="T61" i="8"/>
  <c r="T87" i="8"/>
  <c r="T90" i="8"/>
  <c r="L123" i="8"/>
  <c r="T112" i="8"/>
  <c r="L98" i="8"/>
  <c r="T70" i="8"/>
  <c r="S98" i="8"/>
  <c r="T122" i="8"/>
  <c r="L47" i="8"/>
  <c r="T41" i="8"/>
  <c r="T42" i="8"/>
  <c r="T65" i="8"/>
  <c r="T95" i="8"/>
  <c r="T115" i="8"/>
  <c r="T121" i="8"/>
  <c r="T40" i="8"/>
  <c r="S72" i="8"/>
  <c r="T63" i="8"/>
  <c r="T92" i="8"/>
  <c r="S123" i="8"/>
  <c r="T114" i="8"/>
  <c r="K148" i="8"/>
  <c r="L148" i="8"/>
  <c r="M136" i="8"/>
  <c r="M137" i="8" s="1"/>
  <c r="AH136" i="8"/>
  <c r="O136" i="8"/>
  <c r="O137" i="8" s="1"/>
  <c r="O138" i="8" s="1"/>
  <c r="O139" i="8" s="1"/>
  <c r="O140" i="8" s="1"/>
  <c r="O141" i="8" s="1"/>
  <c r="O142" i="8" s="1"/>
  <c r="O143" i="8" s="1"/>
  <c r="O144" i="8" s="1"/>
  <c r="O145" i="8" s="1"/>
  <c r="O146" i="8" s="1"/>
  <c r="O147" i="8" s="1"/>
  <c r="O148" i="8" s="1"/>
  <c r="R136" i="8"/>
  <c r="M111" i="8"/>
  <c r="P111" i="8" s="1"/>
  <c r="AH111" i="8"/>
  <c r="R111" i="8"/>
  <c r="I98" i="8"/>
  <c r="J87" i="8"/>
  <c r="J88" i="8"/>
  <c r="J96" i="8"/>
  <c r="J89" i="8"/>
  <c r="J97" i="8"/>
  <c r="D98" i="8"/>
  <c r="J95" i="8"/>
  <c r="AH86" i="8"/>
  <c r="R86" i="8"/>
  <c r="I72" i="8"/>
  <c r="J62" i="8"/>
  <c r="J63" i="8"/>
  <c r="J70" i="8"/>
  <c r="J71" i="8"/>
  <c r="J65" i="8"/>
  <c r="R60" i="8"/>
  <c r="AH60" i="8"/>
  <c r="J60" i="8"/>
  <c r="J41" i="8"/>
  <c r="I47" i="8"/>
  <c r="J40" i="8"/>
  <c r="J39" i="8"/>
  <c r="AH35" i="8"/>
  <c r="J35" i="8"/>
  <c r="K35" i="8"/>
  <c r="R35" i="8"/>
  <c r="J42" i="8"/>
  <c r="S35" i="8"/>
  <c r="S47" i="8" s="1"/>
  <c r="Y10" i="5"/>
  <c r="K98" i="8" l="1"/>
  <c r="M148" i="8"/>
  <c r="P148" i="8" s="1"/>
  <c r="M60" i="8"/>
  <c r="P60" i="8" s="1"/>
  <c r="Q60" i="8" s="1"/>
  <c r="N47" i="8"/>
  <c r="O35" i="8"/>
  <c r="O36" i="8" s="1"/>
  <c r="O37" i="8" s="1"/>
  <c r="O38" i="8" s="1"/>
  <c r="O39" i="8" s="1"/>
  <c r="O40" i="8" s="1"/>
  <c r="O41" i="8" s="1"/>
  <c r="O42" i="8" s="1"/>
  <c r="O43" i="8" s="1"/>
  <c r="O44" i="8" s="1"/>
  <c r="O45" i="8" s="1"/>
  <c r="O46" i="8" s="1"/>
  <c r="O47" i="8" s="1"/>
  <c r="O86" i="8"/>
  <c r="O87" i="8" s="1"/>
  <c r="O88" i="8" s="1"/>
  <c r="O89" i="8" s="1"/>
  <c r="O90" i="8" s="1"/>
  <c r="O91" i="8" s="1"/>
  <c r="O92" i="8" s="1"/>
  <c r="O93" i="8" s="1"/>
  <c r="O94" i="8" s="1"/>
  <c r="O95" i="8" s="1"/>
  <c r="O96" i="8" s="1"/>
  <c r="O97" i="8" s="1"/>
  <c r="O98" i="8" s="1"/>
  <c r="N98" i="8"/>
  <c r="M123" i="8"/>
  <c r="P123" i="8" s="1"/>
  <c r="J72" i="8"/>
  <c r="J98" i="8"/>
  <c r="M61" i="8"/>
  <c r="P61" i="8" s="1"/>
  <c r="AF61" i="8" s="1"/>
  <c r="AG61" i="8" s="1"/>
  <c r="P137" i="8"/>
  <c r="T136" i="8"/>
  <c r="T148" i="8" s="1"/>
  <c r="R148" i="8"/>
  <c r="U136" i="8"/>
  <c r="U137" i="8" s="1"/>
  <c r="U138" i="8" s="1"/>
  <c r="U139" i="8" s="1"/>
  <c r="U140" i="8" s="1"/>
  <c r="U141" i="8" s="1"/>
  <c r="U142" i="8" s="1"/>
  <c r="U143" i="8" s="1"/>
  <c r="U144" i="8" s="1"/>
  <c r="U145" i="8" s="1"/>
  <c r="U146" i="8" s="1"/>
  <c r="U147" i="8" s="1"/>
  <c r="U148" i="8" s="1"/>
  <c r="M138" i="8"/>
  <c r="J148" i="8"/>
  <c r="P136" i="8"/>
  <c r="M112" i="8"/>
  <c r="P112" i="8" s="1"/>
  <c r="Q112" i="8" s="1"/>
  <c r="M88" i="8"/>
  <c r="M72" i="8"/>
  <c r="P72" i="8" s="1"/>
  <c r="U111" i="8"/>
  <c r="U112" i="8" s="1"/>
  <c r="U113" i="8" s="1"/>
  <c r="U114" i="8" s="1"/>
  <c r="U115" i="8" s="1"/>
  <c r="U116" i="8" s="1"/>
  <c r="U117" i="8" s="1"/>
  <c r="U118" i="8" s="1"/>
  <c r="U119" i="8" s="1"/>
  <c r="U120" i="8" s="1"/>
  <c r="U121" i="8" s="1"/>
  <c r="U122" i="8" s="1"/>
  <c r="U123" i="8" s="1"/>
  <c r="R123" i="8"/>
  <c r="T111" i="8"/>
  <c r="T123" i="8" s="1"/>
  <c r="J123" i="8"/>
  <c r="Q111" i="8"/>
  <c r="AF111" i="8"/>
  <c r="AG111" i="8" s="1"/>
  <c r="U86" i="8"/>
  <c r="U87" i="8" s="1"/>
  <c r="U88" i="8" s="1"/>
  <c r="U89" i="8" s="1"/>
  <c r="U90" i="8" s="1"/>
  <c r="U91" i="8" s="1"/>
  <c r="U92" i="8" s="1"/>
  <c r="U93" i="8" s="1"/>
  <c r="U94" i="8" s="1"/>
  <c r="U95" i="8" s="1"/>
  <c r="U96" i="8" s="1"/>
  <c r="U97" i="8" s="1"/>
  <c r="U98" i="8" s="1"/>
  <c r="T86" i="8"/>
  <c r="T98" i="8" s="1"/>
  <c r="R98" i="8"/>
  <c r="M98" i="8"/>
  <c r="R72" i="8"/>
  <c r="T60" i="8"/>
  <c r="T72" i="8" s="1"/>
  <c r="U60" i="8"/>
  <c r="U61" i="8" s="1"/>
  <c r="U62" i="8" s="1"/>
  <c r="U63" i="8" s="1"/>
  <c r="U64" i="8" s="1"/>
  <c r="U65" i="8" s="1"/>
  <c r="U66" i="8" s="1"/>
  <c r="U67" i="8" s="1"/>
  <c r="U68" i="8" s="1"/>
  <c r="U69" i="8" s="1"/>
  <c r="U70" i="8" s="1"/>
  <c r="U71" i="8" s="1"/>
  <c r="U72" i="8" s="1"/>
  <c r="J47" i="8"/>
  <c r="U35" i="8"/>
  <c r="U36" i="8" s="1"/>
  <c r="U37" i="8" s="1"/>
  <c r="U38" i="8" s="1"/>
  <c r="U39" i="8" s="1"/>
  <c r="U40" i="8" s="1"/>
  <c r="U41" i="8" s="1"/>
  <c r="U42" i="8" s="1"/>
  <c r="U43" i="8" s="1"/>
  <c r="U44" i="8" s="1"/>
  <c r="U45" i="8" s="1"/>
  <c r="U46" i="8" s="1"/>
  <c r="U47" i="8" s="1"/>
  <c r="R47" i="8"/>
  <c r="T35" i="8"/>
  <c r="T47" i="8" s="1"/>
  <c r="K47" i="8"/>
  <c r="M47" i="8" s="1"/>
  <c r="M35" i="8"/>
  <c r="AJ10" i="5"/>
  <c r="I12" i="8"/>
  <c r="I11" i="8"/>
  <c r="AF60" i="8" l="1"/>
  <c r="AG60" i="8" s="1"/>
  <c r="P88" i="8"/>
  <c r="P47" i="8"/>
  <c r="V112" i="8"/>
  <c r="W112" i="8" s="1"/>
  <c r="X112" i="8" s="1"/>
  <c r="Z112" i="8" s="1"/>
  <c r="AB112" i="8" s="1"/>
  <c r="AC112" i="8" s="1"/>
  <c r="AD112" i="8" s="1"/>
  <c r="P98" i="8"/>
  <c r="P87" i="8"/>
  <c r="P86" i="8"/>
  <c r="M89" i="8"/>
  <c r="P89" i="8" s="1"/>
  <c r="Q61" i="8"/>
  <c r="V61" i="8" s="1"/>
  <c r="W61" i="8" s="1"/>
  <c r="X61" i="8" s="1"/>
  <c r="Z61" i="8" s="1"/>
  <c r="AB61" i="8" s="1"/>
  <c r="AC61" i="8" s="1"/>
  <c r="AD61" i="8" s="1"/>
  <c r="M62" i="8"/>
  <c r="P62" i="8" s="1"/>
  <c r="Q62" i="8" s="1"/>
  <c r="V62" i="8" s="1"/>
  <c r="W62" i="8" s="1"/>
  <c r="X62" i="8" s="1"/>
  <c r="Z62" i="8" s="1"/>
  <c r="AB62" i="8" s="1"/>
  <c r="AC62" i="8" s="1"/>
  <c r="AD62" i="8" s="1"/>
  <c r="P138" i="8"/>
  <c r="M139" i="8"/>
  <c r="Q137" i="8"/>
  <c r="V137" i="8" s="1"/>
  <c r="W137" i="8" s="1"/>
  <c r="X137" i="8" s="1"/>
  <c r="Z137" i="8" s="1"/>
  <c r="AB137" i="8" s="1"/>
  <c r="AC137" i="8" s="1"/>
  <c r="AD137" i="8" s="1"/>
  <c r="AF137" i="8"/>
  <c r="AG137" i="8" s="1"/>
  <c r="AF136" i="8"/>
  <c r="AG136" i="8" s="1"/>
  <c r="Q136" i="8"/>
  <c r="V136" i="8" s="1"/>
  <c r="W136" i="8" s="1"/>
  <c r="X136" i="8" s="1"/>
  <c r="Z136" i="8" s="1"/>
  <c r="AB136" i="8" s="1"/>
  <c r="AC136" i="8" s="1"/>
  <c r="AD136" i="8" s="1"/>
  <c r="AE136" i="8" s="1"/>
  <c r="AF112" i="8"/>
  <c r="AG112" i="8" s="1"/>
  <c r="M113" i="8"/>
  <c r="M114" i="8" s="1"/>
  <c r="V111" i="8"/>
  <c r="W111" i="8" s="1"/>
  <c r="X111" i="8" s="1"/>
  <c r="Z111" i="8" s="1"/>
  <c r="AB111" i="8" s="1"/>
  <c r="AC111" i="8" s="1"/>
  <c r="AD111" i="8" s="1"/>
  <c r="AE111" i="8" s="1"/>
  <c r="AI111" i="8" s="1"/>
  <c r="V60" i="8"/>
  <c r="W60" i="8" s="1"/>
  <c r="X60" i="8" s="1"/>
  <c r="Z60" i="8" s="1"/>
  <c r="AB60" i="8" s="1"/>
  <c r="AC60" i="8" s="1"/>
  <c r="AD60" i="8" s="1"/>
  <c r="AE60" i="8" s="1"/>
  <c r="P35" i="8"/>
  <c r="M36" i="8"/>
  <c r="H22" i="8"/>
  <c r="F22" i="8"/>
  <c r="AH21" i="8"/>
  <c r="AH20" i="8"/>
  <c r="AH19" i="8"/>
  <c r="AH18" i="8"/>
  <c r="AH17" i="8"/>
  <c r="AH16" i="8"/>
  <c r="AH15" i="8"/>
  <c r="AH14" i="8"/>
  <c r="AH13" i="8"/>
  <c r="AH12" i="8"/>
  <c r="AH11" i="8"/>
  <c r="AH10" i="8"/>
  <c r="S21" i="8"/>
  <c r="S20" i="8"/>
  <c r="S19" i="8"/>
  <c r="S18" i="8"/>
  <c r="S17" i="8"/>
  <c r="S16" i="8"/>
  <c r="S15" i="8"/>
  <c r="S14" i="8"/>
  <c r="S13" i="8"/>
  <c r="S12" i="8"/>
  <c r="S11" i="8"/>
  <c r="R21" i="8"/>
  <c r="R20" i="8"/>
  <c r="R19" i="8"/>
  <c r="R18" i="8"/>
  <c r="R17" i="8"/>
  <c r="R16" i="8"/>
  <c r="R15" i="8"/>
  <c r="R14" i="8"/>
  <c r="R13" i="8"/>
  <c r="R12" i="8"/>
  <c r="R11" i="8"/>
  <c r="L21" i="8"/>
  <c r="L20" i="8"/>
  <c r="L19" i="8"/>
  <c r="L18" i="8"/>
  <c r="L17" i="8"/>
  <c r="L16" i="8"/>
  <c r="L15" i="8"/>
  <c r="L14" i="8"/>
  <c r="L13" i="8"/>
  <c r="L12" i="8"/>
  <c r="L11" i="8"/>
  <c r="Y22" i="8"/>
  <c r="D22" i="8"/>
  <c r="AA21" i="8"/>
  <c r="AA22" i="8" s="1"/>
  <c r="K21" i="8"/>
  <c r="I21" i="8"/>
  <c r="J21" i="8" s="1"/>
  <c r="AA20" i="8"/>
  <c r="K20" i="8"/>
  <c r="I20" i="8"/>
  <c r="J20" i="8" s="1"/>
  <c r="AA19" i="8"/>
  <c r="K19" i="8"/>
  <c r="I19" i="8"/>
  <c r="J19" i="8" s="1"/>
  <c r="AA18" i="8"/>
  <c r="K18" i="8"/>
  <c r="I18" i="8"/>
  <c r="J18" i="8" s="1"/>
  <c r="AA17" i="8"/>
  <c r="K17" i="8"/>
  <c r="I17" i="8"/>
  <c r="J17" i="8" s="1"/>
  <c r="AA16" i="8"/>
  <c r="K16" i="8"/>
  <c r="I16" i="8"/>
  <c r="J16" i="8" s="1"/>
  <c r="AA15" i="8"/>
  <c r="K15" i="8"/>
  <c r="I15" i="8"/>
  <c r="J15" i="8" s="1"/>
  <c r="AA14" i="8"/>
  <c r="K14" i="8"/>
  <c r="I14" i="8"/>
  <c r="J14" i="8" s="1"/>
  <c r="AA13" i="8"/>
  <c r="K13" i="8"/>
  <c r="I13" i="8"/>
  <c r="J13" i="8" s="1"/>
  <c r="AA12" i="8"/>
  <c r="K12" i="8"/>
  <c r="AA11" i="8"/>
  <c r="K11" i="8"/>
  <c r="J11" i="8"/>
  <c r="AA10" i="8"/>
  <c r="O10" i="8"/>
  <c r="O11" i="8" s="1"/>
  <c r="O12" i="8" s="1"/>
  <c r="I10" i="8"/>
  <c r="AF87" i="8" l="1"/>
  <c r="AF89" i="8"/>
  <c r="Q88" i="8"/>
  <c r="V88" i="8" s="1"/>
  <c r="W88" i="8" s="1"/>
  <c r="X88" i="8" s="1"/>
  <c r="Z88" i="8" s="1"/>
  <c r="AB88" i="8" s="1"/>
  <c r="AC88" i="8" s="1"/>
  <c r="AD88" i="8" s="1"/>
  <c r="AF88" i="8"/>
  <c r="AG88" i="8" s="1"/>
  <c r="M90" i="8"/>
  <c r="P90" i="8" s="1"/>
  <c r="AF90" i="8" s="1"/>
  <c r="Q86" i="8"/>
  <c r="V86" i="8" s="1"/>
  <c r="W86" i="8" s="1"/>
  <c r="X86" i="8" s="1"/>
  <c r="Z86" i="8" s="1"/>
  <c r="AB86" i="8" s="1"/>
  <c r="AC86" i="8" s="1"/>
  <c r="AD86" i="8" s="1"/>
  <c r="AE86" i="8" s="1"/>
  <c r="AI86" i="8" s="1"/>
  <c r="AF86" i="8"/>
  <c r="AG86" i="8" s="1"/>
  <c r="AG87" i="8"/>
  <c r="Q87" i="8"/>
  <c r="V87" i="8" s="1"/>
  <c r="W87" i="8" s="1"/>
  <c r="X87" i="8" s="1"/>
  <c r="Z87" i="8" s="1"/>
  <c r="AB87" i="8" s="1"/>
  <c r="AC87" i="8" s="1"/>
  <c r="AD87" i="8" s="1"/>
  <c r="AF62" i="8"/>
  <c r="AG62" i="8" s="1"/>
  <c r="T14" i="8"/>
  <c r="M63" i="8"/>
  <c r="T13" i="8"/>
  <c r="T21" i="8"/>
  <c r="P113" i="8"/>
  <c r="AF113" i="8" s="1"/>
  <c r="AG113" i="8" s="1"/>
  <c r="AE112" i="8"/>
  <c r="AI112" i="8" s="1"/>
  <c r="AE62" i="8"/>
  <c r="AI62" i="8" s="1"/>
  <c r="AE137" i="8"/>
  <c r="AI137" i="8" s="1"/>
  <c r="AI136" i="8"/>
  <c r="P139" i="8"/>
  <c r="M140" i="8"/>
  <c r="AF138" i="8"/>
  <c r="Q138" i="8"/>
  <c r="V138" i="8" s="1"/>
  <c r="W138" i="8" s="1"/>
  <c r="X138" i="8" s="1"/>
  <c r="Z138" i="8" s="1"/>
  <c r="AB138" i="8" s="1"/>
  <c r="AC138" i="8" s="1"/>
  <c r="AD138" i="8" s="1"/>
  <c r="AE138" i="8" s="1"/>
  <c r="P114" i="8"/>
  <c r="M115" i="8"/>
  <c r="AG89" i="8"/>
  <c r="Q89" i="8"/>
  <c r="V89" i="8" s="1"/>
  <c r="W89" i="8" s="1"/>
  <c r="X89" i="8" s="1"/>
  <c r="Z89" i="8" s="1"/>
  <c r="AB89" i="8" s="1"/>
  <c r="AC89" i="8" s="1"/>
  <c r="AD89" i="8" s="1"/>
  <c r="AE89" i="8" s="1"/>
  <c r="AI89" i="8" s="1"/>
  <c r="AI60" i="8"/>
  <c r="AE61" i="8"/>
  <c r="AI61" i="8" s="1"/>
  <c r="Q35" i="8"/>
  <c r="V35" i="8" s="1"/>
  <c r="W35" i="8" s="1"/>
  <c r="X35" i="8" s="1"/>
  <c r="Z35" i="8" s="1"/>
  <c r="AB35" i="8" s="1"/>
  <c r="AC35" i="8" s="1"/>
  <c r="AD35" i="8" s="1"/>
  <c r="AE35" i="8" s="1"/>
  <c r="AF35" i="8"/>
  <c r="AG35" i="8" s="1"/>
  <c r="P36" i="8"/>
  <c r="M37" i="8"/>
  <c r="T15" i="8"/>
  <c r="T16" i="8"/>
  <c r="T17" i="8"/>
  <c r="S22" i="8"/>
  <c r="I22" i="8"/>
  <c r="U10" i="8"/>
  <c r="T18" i="8"/>
  <c r="T11" i="8"/>
  <c r="T19" i="8"/>
  <c r="T12" i="8"/>
  <c r="T20" i="8"/>
  <c r="T10" i="8"/>
  <c r="J10" i="8"/>
  <c r="J22" i="8" s="1"/>
  <c r="O13" i="8"/>
  <c r="O14" i="8" s="1"/>
  <c r="O15" i="8" s="1"/>
  <c r="O16" i="8" s="1"/>
  <c r="O17" i="8" s="1"/>
  <c r="O18" i="8" s="1"/>
  <c r="O19" i="8" s="1"/>
  <c r="O20" i="8" s="1"/>
  <c r="O21" i="8" s="1"/>
  <c r="O22" i="8" s="1"/>
  <c r="M10" i="8"/>
  <c r="N22" i="8"/>
  <c r="K22" i="8"/>
  <c r="L22" i="8"/>
  <c r="R22" i="8"/>
  <c r="M91" i="8" l="1"/>
  <c r="AE87" i="8"/>
  <c r="AI87" i="8" s="1"/>
  <c r="AE88" i="8"/>
  <c r="AI88" i="8" s="1"/>
  <c r="Q113" i="8"/>
  <c r="V113" i="8" s="1"/>
  <c r="W113" i="8" s="1"/>
  <c r="X113" i="8" s="1"/>
  <c r="Z113" i="8" s="1"/>
  <c r="AB113" i="8" s="1"/>
  <c r="AC113" i="8" s="1"/>
  <c r="AD113" i="8" s="1"/>
  <c r="AE113" i="8" s="1"/>
  <c r="AI113" i="8" s="1"/>
  <c r="M64" i="8"/>
  <c r="P63" i="8"/>
  <c r="AI138" i="8"/>
  <c r="AG138" i="8"/>
  <c r="P140" i="8"/>
  <c r="M141" i="8"/>
  <c r="AF139" i="8"/>
  <c r="AG139" i="8" s="1"/>
  <c r="Q139" i="8"/>
  <c r="V139" i="8" s="1"/>
  <c r="W139" i="8" s="1"/>
  <c r="X139" i="8" s="1"/>
  <c r="Z139" i="8" s="1"/>
  <c r="AB139" i="8" s="1"/>
  <c r="AC139" i="8" s="1"/>
  <c r="AD139" i="8" s="1"/>
  <c r="AE139" i="8" s="1"/>
  <c r="P115" i="8"/>
  <c r="M116" i="8"/>
  <c r="Q114" i="8"/>
  <c r="V114" i="8" s="1"/>
  <c r="W114" i="8" s="1"/>
  <c r="X114" i="8" s="1"/>
  <c r="Z114" i="8" s="1"/>
  <c r="AB114" i="8" s="1"/>
  <c r="AC114" i="8" s="1"/>
  <c r="AD114" i="8" s="1"/>
  <c r="AF114" i="8"/>
  <c r="P91" i="8"/>
  <c r="AF91" i="8" s="1"/>
  <c r="M92" i="8"/>
  <c r="Q90" i="8"/>
  <c r="V90" i="8" s="1"/>
  <c r="W90" i="8" s="1"/>
  <c r="X90" i="8" s="1"/>
  <c r="Z90" i="8" s="1"/>
  <c r="AB90" i="8" s="1"/>
  <c r="AC90" i="8" s="1"/>
  <c r="AD90" i="8" s="1"/>
  <c r="AE90" i="8" s="1"/>
  <c r="AI90" i="8" s="1"/>
  <c r="AG90" i="8"/>
  <c r="Q36" i="8"/>
  <c r="V36" i="8" s="1"/>
  <c r="W36" i="8" s="1"/>
  <c r="X36" i="8" s="1"/>
  <c r="Z36" i="8" s="1"/>
  <c r="AB36" i="8" s="1"/>
  <c r="AC36" i="8" s="1"/>
  <c r="AD36" i="8" s="1"/>
  <c r="AE36" i="8" s="1"/>
  <c r="AI36" i="8" s="1"/>
  <c r="AF36" i="8"/>
  <c r="AG36" i="8" s="1"/>
  <c r="P37" i="8"/>
  <c r="M38" i="8"/>
  <c r="U11" i="8"/>
  <c r="U12" i="8" s="1"/>
  <c r="U13" i="8" s="1"/>
  <c r="U14" i="8" s="1"/>
  <c r="U15" i="8" s="1"/>
  <c r="U16" i="8" s="1"/>
  <c r="U17" i="8" s="1"/>
  <c r="U18" i="8" s="1"/>
  <c r="U19" i="8" s="1"/>
  <c r="U20" i="8" s="1"/>
  <c r="U21" i="8" s="1"/>
  <c r="U22" i="8" s="1"/>
  <c r="T22" i="8"/>
  <c r="M22" i="8"/>
  <c r="P22" i="8" s="1"/>
  <c r="P10" i="8"/>
  <c r="M11" i="8"/>
  <c r="AE114" i="8" l="1"/>
  <c r="AI114" i="8" s="1"/>
  <c r="AF63" i="8"/>
  <c r="AG63" i="8" s="1"/>
  <c r="Q63" i="8"/>
  <c r="V63" i="8" s="1"/>
  <c r="W63" i="8" s="1"/>
  <c r="X63" i="8" s="1"/>
  <c r="Z63" i="8" s="1"/>
  <c r="AB63" i="8" s="1"/>
  <c r="AC63" i="8" s="1"/>
  <c r="AD63" i="8" s="1"/>
  <c r="AE63" i="8" s="1"/>
  <c r="AI63" i="8" s="1"/>
  <c r="P64" i="8"/>
  <c r="M65" i="8"/>
  <c r="AI139" i="8"/>
  <c r="P141" i="8"/>
  <c r="M142" i="8"/>
  <c r="AF140" i="8"/>
  <c r="AG140" i="8" s="1"/>
  <c r="Q140" i="8"/>
  <c r="V140" i="8" s="1"/>
  <c r="W140" i="8" s="1"/>
  <c r="X140" i="8" s="1"/>
  <c r="Z140" i="8" s="1"/>
  <c r="AB140" i="8" s="1"/>
  <c r="AC140" i="8" s="1"/>
  <c r="AD140" i="8" s="1"/>
  <c r="AE140" i="8" s="1"/>
  <c r="AI140" i="8" s="1"/>
  <c r="M117" i="8"/>
  <c r="P116" i="8"/>
  <c r="AF115" i="8"/>
  <c r="AG115" i="8" s="1"/>
  <c r="Q115" i="8"/>
  <c r="V115" i="8" s="1"/>
  <c r="W115" i="8" s="1"/>
  <c r="X115" i="8" s="1"/>
  <c r="Z115" i="8" s="1"/>
  <c r="AB115" i="8" s="1"/>
  <c r="AC115" i="8" s="1"/>
  <c r="AD115" i="8" s="1"/>
  <c r="AE115" i="8" s="1"/>
  <c r="AI115" i="8" s="1"/>
  <c r="AG114" i="8"/>
  <c r="P92" i="8"/>
  <c r="AF92" i="8" s="1"/>
  <c r="M93" i="8"/>
  <c r="Q91" i="8"/>
  <c r="V91" i="8" s="1"/>
  <c r="W91" i="8" s="1"/>
  <c r="X91" i="8" s="1"/>
  <c r="Z91" i="8" s="1"/>
  <c r="AB91" i="8" s="1"/>
  <c r="AC91" i="8" s="1"/>
  <c r="AD91" i="8" s="1"/>
  <c r="AE91" i="8" s="1"/>
  <c r="AI91" i="8" s="1"/>
  <c r="AG91" i="8"/>
  <c r="P38" i="8"/>
  <c r="M39" i="8"/>
  <c r="Q37" i="8"/>
  <c r="V37" i="8" s="1"/>
  <c r="W37" i="8" s="1"/>
  <c r="X37" i="8" s="1"/>
  <c r="Z37" i="8" s="1"/>
  <c r="AB37" i="8" s="1"/>
  <c r="AC37" i="8" s="1"/>
  <c r="AD37" i="8" s="1"/>
  <c r="AE37" i="8" s="1"/>
  <c r="AI37" i="8" s="1"/>
  <c r="AF37" i="8"/>
  <c r="P11" i="8"/>
  <c r="Q10" i="8"/>
  <c r="V10" i="8" s="1"/>
  <c r="W10" i="8" s="1"/>
  <c r="X10" i="8" s="1"/>
  <c r="Z10" i="8" s="1"/>
  <c r="AF10" i="8"/>
  <c r="P65" i="8" l="1"/>
  <c r="M66" i="8"/>
  <c r="Q64" i="8"/>
  <c r="V64" i="8" s="1"/>
  <c r="W64" i="8" s="1"/>
  <c r="X64" i="8" s="1"/>
  <c r="Z64" i="8" s="1"/>
  <c r="AB64" i="8" s="1"/>
  <c r="AC64" i="8" s="1"/>
  <c r="AD64" i="8" s="1"/>
  <c r="AE64" i="8" s="1"/>
  <c r="AI64" i="8" s="1"/>
  <c r="AF64" i="8"/>
  <c r="AG64" i="8" s="1"/>
  <c r="Q141" i="8"/>
  <c r="V141" i="8" s="1"/>
  <c r="W141" i="8" s="1"/>
  <c r="X141" i="8" s="1"/>
  <c r="Z141" i="8" s="1"/>
  <c r="AB141" i="8" s="1"/>
  <c r="AC141" i="8" s="1"/>
  <c r="AD141" i="8" s="1"/>
  <c r="AE141" i="8" s="1"/>
  <c r="AF141" i="8"/>
  <c r="AG141" i="8"/>
  <c r="P142" i="8"/>
  <c r="M143" i="8"/>
  <c r="P117" i="8"/>
  <c r="M118" i="8"/>
  <c r="Q116" i="8"/>
  <c r="V116" i="8" s="1"/>
  <c r="W116" i="8" s="1"/>
  <c r="X116" i="8" s="1"/>
  <c r="Z116" i="8" s="1"/>
  <c r="AB116" i="8" s="1"/>
  <c r="AC116" i="8" s="1"/>
  <c r="AD116" i="8" s="1"/>
  <c r="AE116" i="8" s="1"/>
  <c r="AI116" i="8" s="1"/>
  <c r="AF116" i="8"/>
  <c r="AG116" i="8" s="1"/>
  <c r="P93" i="8"/>
  <c r="AF93" i="8" s="1"/>
  <c r="M94" i="8"/>
  <c r="Q92" i="8"/>
  <c r="V92" i="8" s="1"/>
  <c r="W92" i="8" s="1"/>
  <c r="X92" i="8" s="1"/>
  <c r="Z92" i="8" s="1"/>
  <c r="AB92" i="8" s="1"/>
  <c r="AC92" i="8" s="1"/>
  <c r="AD92" i="8" s="1"/>
  <c r="AE92" i="8" s="1"/>
  <c r="AI92" i="8" s="1"/>
  <c r="AG92" i="8"/>
  <c r="AG37" i="8"/>
  <c r="P39" i="8"/>
  <c r="M40" i="8"/>
  <c r="AF38" i="8"/>
  <c r="Q38" i="8"/>
  <c r="V38" i="8" s="1"/>
  <c r="W38" i="8" s="1"/>
  <c r="X38" i="8" s="1"/>
  <c r="Z38" i="8" s="1"/>
  <c r="AB38" i="8" s="1"/>
  <c r="AC38" i="8" s="1"/>
  <c r="AD38" i="8" s="1"/>
  <c r="AE38" i="8" s="1"/>
  <c r="AB10" i="8"/>
  <c r="AC10" i="8" s="1"/>
  <c r="AD10" i="8" s="1"/>
  <c r="AE10" i="8" s="1"/>
  <c r="AI10" i="8" s="1"/>
  <c r="P12" i="8"/>
  <c r="AF12" i="8" s="1"/>
  <c r="M13" i="8"/>
  <c r="Q11" i="8"/>
  <c r="AF11" i="8"/>
  <c r="AG11" i="8" s="1"/>
  <c r="AG10" i="8"/>
  <c r="P66" i="8" l="1"/>
  <c r="M67" i="8"/>
  <c r="AF65" i="8"/>
  <c r="AG65" i="8" s="1"/>
  <c r="Q65" i="8"/>
  <c r="V65" i="8" s="1"/>
  <c r="W65" i="8" s="1"/>
  <c r="X65" i="8" s="1"/>
  <c r="Z65" i="8" s="1"/>
  <c r="AB65" i="8" s="1"/>
  <c r="AC65" i="8" s="1"/>
  <c r="AD65" i="8" s="1"/>
  <c r="AE65" i="8" s="1"/>
  <c r="AI65" i="8" s="1"/>
  <c r="AI141" i="8"/>
  <c r="Q142" i="8"/>
  <c r="V142" i="8" s="1"/>
  <c r="W142" i="8" s="1"/>
  <c r="X142" i="8" s="1"/>
  <c r="Z142" i="8" s="1"/>
  <c r="AB142" i="8" s="1"/>
  <c r="AC142" i="8" s="1"/>
  <c r="AD142" i="8" s="1"/>
  <c r="AE142" i="8" s="1"/>
  <c r="AI142" i="8" s="1"/>
  <c r="AF142" i="8"/>
  <c r="AG142" i="8" s="1"/>
  <c r="P143" i="8"/>
  <c r="M144" i="8"/>
  <c r="P118" i="8"/>
  <c r="M119" i="8"/>
  <c r="Q117" i="8"/>
  <c r="V117" i="8" s="1"/>
  <c r="W117" i="8" s="1"/>
  <c r="X117" i="8" s="1"/>
  <c r="Z117" i="8" s="1"/>
  <c r="AB117" i="8" s="1"/>
  <c r="AC117" i="8" s="1"/>
  <c r="AD117" i="8" s="1"/>
  <c r="AE117" i="8" s="1"/>
  <c r="AI117" i="8" s="1"/>
  <c r="AF117" i="8"/>
  <c r="AG117" i="8" s="1"/>
  <c r="P94" i="8"/>
  <c r="AF94" i="8" s="1"/>
  <c r="M95" i="8"/>
  <c r="Q93" i="8"/>
  <c r="V93" i="8" s="1"/>
  <c r="W93" i="8" s="1"/>
  <c r="X93" i="8" s="1"/>
  <c r="Z93" i="8" s="1"/>
  <c r="AB93" i="8" s="1"/>
  <c r="AC93" i="8" s="1"/>
  <c r="AD93" i="8" s="1"/>
  <c r="AE93" i="8" s="1"/>
  <c r="AI93" i="8" s="1"/>
  <c r="AG93" i="8"/>
  <c r="AI38" i="8"/>
  <c r="AG38" i="8"/>
  <c r="P40" i="8"/>
  <c r="M41" i="8"/>
  <c r="Q39" i="8"/>
  <c r="V39" i="8" s="1"/>
  <c r="W39" i="8" s="1"/>
  <c r="X39" i="8" s="1"/>
  <c r="Z39" i="8" s="1"/>
  <c r="AB39" i="8" s="1"/>
  <c r="AC39" i="8" s="1"/>
  <c r="AD39" i="8" s="1"/>
  <c r="AE39" i="8" s="1"/>
  <c r="AF39" i="8"/>
  <c r="AG39" i="8" s="1"/>
  <c r="V11" i="8"/>
  <c r="W11" i="8" s="1"/>
  <c r="X11" i="8" s="1"/>
  <c r="Z11" i="8" s="1"/>
  <c r="AB11" i="8" s="1"/>
  <c r="AC11" i="8" s="1"/>
  <c r="AD11" i="8" s="1"/>
  <c r="AE11" i="8" s="1"/>
  <c r="P13" i="8"/>
  <c r="M14" i="8"/>
  <c r="Q12" i="8"/>
  <c r="AG12" i="8"/>
  <c r="M68" i="8" l="1"/>
  <c r="P67" i="8"/>
  <c r="AF66" i="8"/>
  <c r="AG66" i="8" s="1"/>
  <c r="Q66" i="8"/>
  <c r="V66" i="8" s="1"/>
  <c r="W66" i="8" s="1"/>
  <c r="X66" i="8" s="1"/>
  <c r="Z66" i="8" s="1"/>
  <c r="AB66" i="8" s="1"/>
  <c r="AC66" i="8" s="1"/>
  <c r="AD66" i="8" s="1"/>
  <c r="AE66" i="8" s="1"/>
  <c r="AI66" i="8" s="1"/>
  <c r="P144" i="8"/>
  <c r="M145" i="8"/>
  <c r="AF143" i="8"/>
  <c r="AG143" i="8" s="1"/>
  <c r="Q143" i="8"/>
  <c r="V143" i="8" s="1"/>
  <c r="W143" i="8" s="1"/>
  <c r="X143" i="8" s="1"/>
  <c r="Z143" i="8" s="1"/>
  <c r="AB143" i="8" s="1"/>
  <c r="AC143" i="8" s="1"/>
  <c r="AD143" i="8" s="1"/>
  <c r="AE143" i="8" s="1"/>
  <c r="AI143" i="8" s="1"/>
  <c r="P119" i="8"/>
  <c r="M120" i="8"/>
  <c r="AF118" i="8"/>
  <c r="AG118" i="8" s="1"/>
  <c r="Q118" i="8"/>
  <c r="V118" i="8" s="1"/>
  <c r="W118" i="8" s="1"/>
  <c r="X118" i="8" s="1"/>
  <c r="Z118" i="8" s="1"/>
  <c r="AB118" i="8" s="1"/>
  <c r="AC118" i="8" s="1"/>
  <c r="AD118" i="8" s="1"/>
  <c r="AE118" i="8" s="1"/>
  <c r="AI118" i="8" s="1"/>
  <c r="AG94" i="8"/>
  <c r="Q94" i="8"/>
  <c r="V94" i="8" s="1"/>
  <c r="W94" i="8" s="1"/>
  <c r="X94" i="8" s="1"/>
  <c r="Z94" i="8" s="1"/>
  <c r="AB94" i="8" s="1"/>
  <c r="AC94" i="8" s="1"/>
  <c r="AD94" i="8" s="1"/>
  <c r="AE94" i="8" s="1"/>
  <c r="AI94" i="8" s="1"/>
  <c r="P95" i="8"/>
  <c r="AF95" i="8" s="1"/>
  <c r="M96" i="8"/>
  <c r="AI39" i="8"/>
  <c r="P41" i="8"/>
  <c r="M42" i="8"/>
  <c r="AF40" i="8"/>
  <c r="AG40" i="8" s="1"/>
  <c r="Q40" i="8"/>
  <c r="V40" i="8" s="1"/>
  <c r="W40" i="8" s="1"/>
  <c r="X40" i="8" s="1"/>
  <c r="Z40" i="8" s="1"/>
  <c r="AB40" i="8" s="1"/>
  <c r="AC40" i="8" s="1"/>
  <c r="AD40" i="8" s="1"/>
  <c r="AE40" i="8" s="1"/>
  <c r="AI40" i="8" s="1"/>
  <c r="V12" i="8"/>
  <c r="W12" i="8" s="1"/>
  <c r="AF13" i="8"/>
  <c r="AG13" i="8" s="1"/>
  <c r="Q13" i="8"/>
  <c r="P14" i="8"/>
  <c r="M15" i="8"/>
  <c r="X12" i="8" l="1"/>
  <c r="Z12" i="8" s="1"/>
  <c r="AB12" i="8" s="1"/>
  <c r="AC12" i="8" s="1"/>
  <c r="AD12" i="8" s="1"/>
  <c r="AE12" i="8" s="1"/>
  <c r="Q67" i="8"/>
  <c r="V67" i="8" s="1"/>
  <c r="W67" i="8" s="1"/>
  <c r="X67" i="8" s="1"/>
  <c r="Z67" i="8" s="1"/>
  <c r="AB67" i="8" s="1"/>
  <c r="AC67" i="8" s="1"/>
  <c r="AD67" i="8" s="1"/>
  <c r="AE67" i="8" s="1"/>
  <c r="AI67" i="8" s="1"/>
  <c r="AF67" i="8"/>
  <c r="AG67" i="8" s="1"/>
  <c r="P68" i="8"/>
  <c r="M69" i="8"/>
  <c r="P145" i="8"/>
  <c r="M146" i="8"/>
  <c r="Q144" i="8"/>
  <c r="V144" i="8" s="1"/>
  <c r="W144" i="8" s="1"/>
  <c r="X144" i="8" s="1"/>
  <c r="Z144" i="8" s="1"/>
  <c r="AB144" i="8" s="1"/>
  <c r="AC144" i="8" s="1"/>
  <c r="AD144" i="8" s="1"/>
  <c r="AE144" i="8" s="1"/>
  <c r="AI144" i="8" s="1"/>
  <c r="AF144" i="8"/>
  <c r="AG144" i="8" s="1"/>
  <c r="Q119" i="8"/>
  <c r="V119" i="8" s="1"/>
  <c r="W119" i="8" s="1"/>
  <c r="X119" i="8" s="1"/>
  <c r="Z119" i="8" s="1"/>
  <c r="AB119" i="8" s="1"/>
  <c r="AC119" i="8" s="1"/>
  <c r="AD119" i="8" s="1"/>
  <c r="AE119" i="8" s="1"/>
  <c r="AI119" i="8" s="1"/>
  <c r="AF119" i="8"/>
  <c r="AG119" i="8" s="1"/>
  <c r="P120" i="8"/>
  <c r="M121" i="8"/>
  <c r="Q95" i="8"/>
  <c r="V95" i="8" s="1"/>
  <c r="W95" i="8" s="1"/>
  <c r="X95" i="8" s="1"/>
  <c r="Z95" i="8" s="1"/>
  <c r="AB95" i="8" s="1"/>
  <c r="AC95" i="8" s="1"/>
  <c r="AD95" i="8" s="1"/>
  <c r="AE95" i="8" s="1"/>
  <c r="AI95" i="8" s="1"/>
  <c r="AG95" i="8"/>
  <c r="P96" i="8"/>
  <c r="AF96" i="8" s="1"/>
  <c r="M97" i="8"/>
  <c r="P97" i="8" s="1"/>
  <c r="M43" i="8"/>
  <c r="P42" i="8"/>
  <c r="AF41" i="8"/>
  <c r="AG41" i="8" s="1"/>
  <c r="Q41" i="8"/>
  <c r="V41" i="8" s="1"/>
  <c r="W41" i="8" s="1"/>
  <c r="X41" i="8" s="1"/>
  <c r="Z41" i="8" s="1"/>
  <c r="AB41" i="8" s="1"/>
  <c r="AC41" i="8" s="1"/>
  <c r="AD41" i="8" s="1"/>
  <c r="AE41" i="8" s="1"/>
  <c r="AI41" i="8" s="1"/>
  <c r="V13" i="8"/>
  <c r="W13" i="8" s="1"/>
  <c r="X13" i="8" s="1"/>
  <c r="Z13" i="8" s="1"/>
  <c r="AB13" i="8" s="1"/>
  <c r="AC13" i="8" s="1"/>
  <c r="AD13" i="8" s="1"/>
  <c r="P15" i="8"/>
  <c r="M16" i="8"/>
  <c r="Q14" i="8"/>
  <c r="AF14" i="8"/>
  <c r="AO12" i="8" l="1"/>
  <c r="AI12" i="8"/>
  <c r="AE13" i="8"/>
  <c r="AI13" i="8" s="1"/>
  <c r="AF97" i="8"/>
  <c r="P69" i="8"/>
  <c r="M70" i="8"/>
  <c r="Q68" i="8"/>
  <c r="V68" i="8" s="1"/>
  <c r="W68" i="8" s="1"/>
  <c r="X68" i="8" s="1"/>
  <c r="Z68" i="8" s="1"/>
  <c r="AB68" i="8" s="1"/>
  <c r="AC68" i="8" s="1"/>
  <c r="AD68" i="8" s="1"/>
  <c r="AE68" i="8" s="1"/>
  <c r="AI68" i="8" s="1"/>
  <c r="AF68" i="8"/>
  <c r="AG68" i="8" s="1"/>
  <c r="P146" i="8"/>
  <c r="M147" i="8"/>
  <c r="P147" i="8" s="1"/>
  <c r="Q145" i="8"/>
  <c r="V145" i="8" s="1"/>
  <c r="W145" i="8" s="1"/>
  <c r="X145" i="8" s="1"/>
  <c r="Z145" i="8" s="1"/>
  <c r="AB145" i="8" s="1"/>
  <c r="AC145" i="8" s="1"/>
  <c r="AD145" i="8" s="1"/>
  <c r="AE145" i="8" s="1"/>
  <c r="AI145" i="8" s="1"/>
  <c r="AF145" i="8"/>
  <c r="AG145" i="8" s="1"/>
  <c r="P121" i="8"/>
  <c r="M122" i="8"/>
  <c r="P122" i="8" s="1"/>
  <c r="Q120" i="8"/>
  <c r="V120" i="8" s="1"/>
  <c r="W120" i="8" s="1"/>
  <c r="X120" i="8" s="1"/>
  <c r="Z120" i="8" s="1"/>
  <c r="AB120" i="8" s="1"/>
  <c r="AC120" i="8" s="1"/>
  <c r="AD120" i="8" s="1"/>
  <c r="AE120" i="8" s="1"/>
  <c r="AI120" i="8" s="1"/>
  <c r="AF120" i="8"/>
  <c r="AG120" i="8" s="1"/>
  <c r="Q97" i="8"/>
  <c r="Q96" i="8"/>
  <c r="V96" i="8" s="1"/>
  <c r="W96" i="8" s="1"/>
  <c r="X96" i="8" s="1"/>
  <c r="Z96" i="8" s="1"/>
  <c r="AB96" i="8" s="1"/>
  <c r="AC96" i="8" s="1"/>
  <c r="AD96" i="8" s="1"/>
  <c r="AE96" i="8" s="1"/>
  <c r="AI96" i="8" s="1"/>
  <c r="AG96" i="8"/>
  <c r="Q42" i="8"/>
  <c r="V42" i="8" s="1"/>
  <c r="W42" i="8" s="1"/>
  <c r="X42" i="8" s="1"/>
  <c r="Z42" i="8" s="1"/>
  <c r="AB42" i="8" s="1"/>
  <c r="AC42" i="8" s="1"/>
  <c r="AD42" i="8" s="1"/>
  <c r="AE42" i="8" s="1"/>
  <c r="AI42" i="8" s="1"/>
  <c r="AF42" i="8"/>
  <c r="AG42" i="8" s="1"/>
  <c r="P43" i="8"/>
  <c r="M44" i="8"/>
  <c r="V14" i="8"/>
  <c r="W14" i="8" s="1"/>
  <c r="X14" i="8" s="1"/>
  <c r="Z14" i="8" s="1"/>
  <c r="AB14" i="8" s="1"/>
  <c r="AC14" i="8" s="1"/>
  <c r="AD14" i="8" s="1"/>
  <c r="AE14" i="8" s="1"/>
  <c r="AI14" i="8" s="1"/>
  <c r="AG14" i="8"/>
  <c r="P16" i="8"/>
  <c r="M17" i="8"/>
  <c r="AF15" i="8"/>
  <c r="AG15" i="8" s="1"/>
  <c r="Q15" i="8"/>
  <c r="P70" i="8" l="1"/>
  <c r="M71" i="8"/>
  <c r="P71" i="8" s="1"/>
  <c r="Q69" i="8"/>
  <c r="V69" i="8" s="1"/>
  <c r="W69" i="8" s="1"/>
  <c r="X69" i="8" s="1"/>
  <c r="Z69" i="8" s="1"/>
  <c r="AB69" i="8" s="1"/>
  <c r="AC69" i="8" s="1"/>
  <c r="AD69" i="8" s="1"/>
  <c r="AE69" i="8" s="1"/>
  <c r="AI69" i="8" s="1"/>
  <c r="AF69" i="8"/>
  <c r="AG69" i="8" s="1"/>
  <c r="AF147" i="8"/>
  <c r="Q147" i="8"/>
  <c r="AF146" i="8"/>
  <c r="AG146" i="8" s="1"/>
  <c r="Q146" i="8"/>
  <c r="V146" i="8" s="1"/>
  <c r="W146" i="8" s="1"/>
  <c r="X146" i="8" s="1"/>
  <c r="Z146" i="8" s="1"/>
  <c r="AB146" i="8" s="1"/>
  <c r="AC146" i="8" s="1"/>
  <c r="AD146" i="8" s="1"/>
  <c r="AE146" i="8" s="1"/>
  <c r="AI146" i="8" s="1"/>
  <c r="AF122" i="8"/>
  <c r="Q122" i="8"/>
  <c r="Q121" i="8"/>
  <c r="V121" i="8" s="1"/>
  <c r="W121" i="8" s="1"/>
  <c r="X121" i="8" s="1"/>
  <c r="Z121" i="8" s="1"/>
  <c r="AB121" i="8" s="1"/>
  <c r="AC121" i="8" s="1"/>
  <c r="AD121" i="8" s="1"/>
  <c r="AE121" i="8" s="1"/>
  <c r="AI121" i="8" s="1"/>
  <c r="AF121" i="8"/>
  <c r="AG121" i="8" s="1"/>
  <c r="Q98" i="8"/>
  <c r="V98" i="8" s="1"/>
  <c r="W98" i="8" s="1"/>
  <c r="V97" i="8"/>
  <c r="W97" i="8" s="1"/>
  <c r="X97" i="8" s="1"/>
  <c r="AF98" i="8"/>
  <c r="AG97" i="8"/>
  <c r="AG98" i="8" s="1"/>
  <c r="P44" i="8"/>
  <c r="M45" i="8"/>
  <c r="Q43" i="8"/>
  <c r="V43" i="8" s="1"/>
  <c r="W43" i="8" s="1"/>
  <c r="X43" i="8" s="1"/>
  <c r="Z43" i="8" s="1"/>
  <c r="AB43" i="8" s="1"/>
  <c r="AC43" i="8" s="1"/>
  <c r="AD43" i="8" s="1"/>
  <c r="AE43" i="8" s="1"/>
  <c r="AI43" i="8" s="1"/>
  <c r="AF43" i="8"/>
  <c r="AG43" i="8" s="1"/>
  <c r="V15" i="8"/>
  <c r="W15" i="8" s="1"/>
  <c r="X15" i="8" s="1"/>
  <c r="Z15" i="8" s="1"/>
  <c r="AB15" i="8" s="1"/>
  <c r="AC15" i="8" s="1"/>
  <c r="AD15" i="8" s="1"/>
  <c r="AE15" i="8" s="1"/>
  <c r="AI15" i="8" s="1"/>
  <c r="P17" i="8"/>
  <c r="M18" i="8"/>
  <c r="Q16" i="8"/>
  <c r="AF16" i="8"/>
  <c r="AG16" i="8" s="1"/>
  <c r="AF71" i="8" l="1"/>
  <c r="AG71" i="8" s="1"/>
  <c r="Q71" i="8"/>
  <c r="Q70" i="8"/>
  <c r="V70" i="8" s="1"/>
  <c r="W70" i="8" s="1"/>
  <c r="X70" i="8" s="1"/>
  <c r="Z70" i="8" s="1"/>
  <c r="AB70" i="8" s="1"/>
  <c r="AC70" i="8" s="1"/>
  <c r="AD70" i="8" s="1"/>
  <c r="AE70" i="8" s="1"/>
  <c r="AI70" i="8" s="1"/>
  <c r="AF70" i="8"/>
  <c r="AF148" i="8"/>
  <c r="AG147" i="8"/>
  <c r="AG148" i="8" s="1"/>
  <c r="V147" i="8"/>
  <c r="W147" i="8" s="1"/>
  <c r="X147" i="8" s="1"/>
  <c r="Q148" i="8"/>
  <c r="V148" i="8" s="1"/>
  <c r="W148" i="8" s="1"/>
  <c r="Q123" i="8"/>
  <c r="V123" i="8" s="1"/>
  <c r="W123" i="8" s="1"/>
  <c r="V122" i="8"/>
  <c r="W122" i="8" s="1"/>
  <c r="X122" i="8" s="1"/>
  <c r="AF123" i="8"/>
  <c r="AG122" i="8"/>
  <c r="AG123" i="8" s="1"/>
  <c r="X98" i="8"/>
  <c r="Z98" i="8" s="1"/>
  <c r="AB98" i="8" s="1"/>
  <c r="AC98" i="8" s="1"/>
  <c r="AD98" i="8" s="1"/>
  <c r="Z97" i="8"/>
  <c r="AB97" i="8" s="1"/>
  <c r="AC97" i="8" s="1"/>
  <c r="AD97" i="8" s="1"/>
  <c r="AE97" i="8" s="1"/>
  <c r="AI97" i="8" s="1"/>
  <c r="P45" i="8"/>
  <c r="M46" i="8"/>
  <c r="P46" i="8" s="1"/>
  <c r="Q44" i="8"/>
  <c r="V44" i="8" s="1"/>
  <c r="W44" i="8" s="1"/>
  <c r="X44" i="8" s="1"/>
  <c r="Z44" i="8" s="1"/>
  <c r="AB44" i="8" s="1"/>
  <c r="AC44" i="8" s="1"/>
  <c r="AD44" i="8" s="1"/>
  <c r="AE44" i="8" s="1"/>
  <c r="AI44" i="8" s="1"/>
  <c r="AF44" i="8"/>
  <c r="AG44" i="8" s="1"/>
  <c r="V16" i="8"/>
  <c r="W16" i="8" s="1"/>
  <c r="X16" i="8" s="1"/>
  <c r="Z16" i="8" s="1"/>
  <c r="AB16" i="8" s="1"/>
  <c r="AC16" i="8" s="1"/>
  <c r="AD16" i="8" s="1"/>
  <c r="AE16" i="8" s="1"/>
  <c r="AI16" i="8" s="1"/>
  <c r="Q17" i="8"/>
  <c r="AF17" i="8"/>
  <c r="AG17" i="8" s="1"/>
  <c r="P18" i="8"/>
  <c r="M19" i="8"/>
  <c r="AG70" i="8" l="1"/>
  <c r="AG72" i="8" s="1"/>
  <c r="AF72" i="8"/>
  <c r="Q72" i="8"/>
  <c r="V72" i="8" s="1"/>
  <c r="W72" i="8" s="1"/>
  <c r="V71" i="8"/>
  <c r="W71" i="8" s="1"/>
  <c r="X71" i="8" s="1"/>
  <c r="X148" i="8"/>
  <c r="Z148" i="8" s="1"/>
  <c r="AB148" i="8" s="1"/>
  <c r="AC148" i="8" s="1"/>
  <c r="AD148" i="8" s="1"/>
  <c r="Z147" i="8"/>
  <c r="AB147" i="8" s="1"/>
  <c r="AC147" i="8" s="1"/>
  <c r="AD147" i="8" s="1"/>
  <c r="AE147" i="8" s="1"/>
  <c r="X123" i="8"/>
  <c r="Z123" i="8" s="1"/>
  <c r="AB123" i="8" s="1"/>
  <c r="AC123" i="8" s="1"/>
  <c r="AD123" i="8" s="1"/>
  <c r="Z122" i="8"/>
  <c r="AB122" i="8" s="1"/>
  <c r="AC122" i="8" s="1"/>
  <c r="AD122" i="8" s="1"/>
  <c r="AE122" i="8" s="1"/>
  <c r="AI122" i="8" s="1"/>
  <c r="AE98" i="8"/>
  <c r="Q46" i="8"/>
  <c r="AF46" i="8"/>
  <c r="Q45" i="8"/>
  <c r="V45" i="8" s="1"/>
  <c r="W45" i="8" s="1"/>
  <c r="X45" i="8" s="1"/>
  <c r="Z45" i="8" s="1"/>
  <c r="AB45" i="8" s="1"/>
  <c r="AC45" i="8" s="1"/>
  <c r="AD45" i="8" s="1"/>
  <c r="AE45" i="8" s="1"/>
  <c r="AI45" i="8" s="1"/>
  <c r="AF45" i="8"/>
  <c r="AG45" i="8" s="1"/>
  <c r="V17" i="8"/>
  <c r="W17" i="8" s="1"/>
  <c r="X17" i="8" s="1"/>
  <c r="Z17" i="8" s="1"/>
  <c r="AB17" i="8" s="1"/>
  <c r="AC17" i="8" s="1"/>
  <c r="AD17" i="8" s="1"/>
  <c r="AE17" i="8" s="1"/>
  <c r="AI17" i="8" s="1"/>
  <c r="P19" i="8"/>
  <c r="M20" i="8"/>
  <c r="AF18" i="8"/>
  <c r="AG18" i="8" s="1"/>
  <c r="Q18" i="8"/>
  <c r="Z71" i="8" l="1"/>
  <c r="AB71" i="8" s="1"/>
  <c r="AC71" i="8" s="1"/>
  <c r="AD71" i="8" s="1"/>
  <c r="AE71" i="8" s="1"/>
  <c r="AI71" i="8" s="1"/>
  <c r="X72" i="8"/>
  <c r="Z72" i="8" s="1"/>
  <c r="AB72" i="8" s="1"/>
  <c r="AC72" i="8" s="1"/>
  <c r="AD72" i="8" s="1"/>
  <c r="AI147" i="8"/>
  <c r="AE148" i="8"/>
  <c r="AE123" i="8"/>
  <c r="AF47" i="8"/>
  <c r="AG46" i="8"/>
  <c r="AG47" i="8" s="1"/>
  <c r="Q47" i="8"/>
  <c r="V47" i="8" s="1"/>
  <c r="W47" i="8" s="1"/>
  <c r="V46" i="8"/>
  <c r="W46" i="8" s="1"/>
  <c r="X46" i="8" s="1"/>
  <c r="V18" i="8"/>
  <c r="W18" i="8" s="1"/>
  <c r="X18" i="8" s="1"/>
  <c r="Z18" i="8" s="1"/>
  <c r="AB18" i="8" s="1"/>
  <c r="AC18" i="8" s="1"/>
  <c r="AD18" i="8" s="1"/>
  <c r="AE18" i="8" s="1"/>
  <c r="AI18" i="8" s="1"/>
  <c r="AF19" i="8"/>
  <c r="AG19" i="8" s="1"/>
  <c r="Q19" i="8"/>
  <c r="P20" i="8"/>
  <c r="M21" i="8"/>
  <c r="P21" i="8" s="1"/>
  <c r="AE72" i="8" l="1"/>
  <c r="X47" i="8"/>
  <c r="Z47" i="8" s="1"/>
  <c r="AB47" i="8" s="1"/>
  <c r="AC47" i="8" s="1"/>
  <c r="AD47" i="8" s="1"/>
  <c r="Z46" i="8"/>
  <c r="AB46" i="8" s="1"/>
  <c r="AC46" i="8" s="1"/>
  <c r="AD46" i="8" s="1"/>
  <c r="AE46" i="8" s="1"/>
  <c r="V19" i="8"/>
  <c r="W19" i="8" s="1"/>
  <c r="X19" i="8" s="1"/>
  <c r="Z19" i="8" s="1"/>
  <c r="AB19" i="8" s="1"/>
  <c r="AC19" i="8" s="1"/>
  <c r="AD19" i="8" s="1"/>
  <c r="AE19" i="8" s="1"/>
  <c r="AI19" i="8" s="1"/>
  <c r="Q21" i="8"/>
  <c r="V21" i="8" s="1"/>
  <c r="AF21" i="8"/>
  <c r="AG21" i="8" s="1"/>
  <c r="AF20" i="8"/>
  <c r="AG20" i="8" s="1"/>
  <c r="Q20" i="8"/>
  <c r="AI46" i="8" l="1"/>
  <c r="AE47" i="8"/>
  <c r="V20" i="8"/>
  <c r="W20" i="8" s="1"/>
  <c r="X20" i="8" s="1"/>
  <c r="Z20" i="8" s="1"/>
  <c r="AB20" i="8" s="1"/>
  <c r="AC20" i="8" s="1"/>
  <c r="AD20" i="8" s="1"/>
  <c r="AE20" i="8" s="1"/>
  <c r="AI20" i="8" s="1"/>
  <c r="AF22" i="8"/>
  <c r="AG22" i="8"/>
  <c r="W21" i="8"/>
  <c r="X21" i="8" s="1"/>
  <c r="Q22" i="8"/>
  <c r="V22" i="8" s="1"/>
  <c r="W22" i="8" s="1"/>
  <c r="X22" i="8" l="1"/>
  <c r="Z22" i="8" s="1"/>
  <c r="AB22" i="8" s="1"/>
  <c r="AC22" i="8" s="1"/>
  <c r="AD22" i="8" s="1"/>
  <c r="Z21" i="8"/>
  <c r="AB21" i="8" s="1"/>
  <c r="AC21" i="8" s="1"/>
  <c r="AD21" i="8" s="1"/>
  <c r="AE21" i="8" s="1"/>
  <c r="AI21" i="8" s="1"/>
  <c r="AE22" i="8" l="1"/>
  <c r="A9" i="7" l="1"/>
  <c r="A10" i="7" s="1"/>
  <c r="A11" i="7" s="1"/>
  <c r="A4" i="7"/>
  <c r="D4" i="7" s="1"/>
  <c r="A8" i="6"/>
  <c r="A9" i="6" s="1"/>
  <c r="A10" i="6" s="1"/>
  <c r="A4" i="6"/>
  <c r="D4" i="6" s="1"/>
  <c r="B11" i="5" l="1"/>
  <c r="B12" i="5" s="1"/>
  <c r="B13" i="5" s="1"/>
  <c r="D28" i="3" l="1"/>
  <c r="J28" i="3"/>
  <c r="D3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BIA</author>
  </authors>
  <commentList>
    <comment ref="L10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0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0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1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1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1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2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2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2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3" authorId="0" shapeId="0" xr:uid="{00000000-0006-0000-0400-00000A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3" authorId="0" shapeId="0" xr:uid="{00000000-0006-0000-0400-00000B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3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4" authorId="0" shapeId="0" xr:uid="{00000000-0006-0000-0400-00000D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4" authorId="0" shapeId="0" xr:uid="{00000000-0006-0000-0400-00000E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4" authorId="0" shapeId="0" xr:uid="{00000000-0006-0000-0400-00000F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5" authorId="0" shapeId="0" xr:uid="{00000000-0006-0000-0400-000010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5" authorId="0" shapeId="0" xr:uid="{00000000-0006-0000-0400-000011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5" authorId="0" shapeId="0" xr:uid="{00000000-0006-0000-0400-000012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6" authorId="0" shapeId="0" xr:uid="{00000000-0006-0000-0400-000013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6" authorId="0" shapeId="0" xr:uid="{00000000-0006-0000-0400-000014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6" authorId="0" shapeId="0" xr:uid="{00000000-0006-0000-0400-000015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7" authorId="0" shapeId="0" xr:uid="{00000000-0006-0000-0400-000016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7" authorId="0" shapeId="0" xr:uid="{00000000-0006-0000-0400-000017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7" authorId="0" shapeId="0" xr:uid="{00000000-0006-0000-0400-000018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8" authorId="0" shapeId="0" xr:uid="{00000000-0006-0000-0400-000019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8" authorId="0" shapeId="0" xr:uid="{00000000-0006-0000-0400-00001A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8" authorId="0" shapeId="0" xr:uid="{00000000-0006-0000-0400-00001B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9" authorId="0" shapeId="0" xr:uid="{00000000-0006-0000-0400-00001C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9" authorId="0" shapeId="0" xr:uid="{00000000-0006-0000-0400-00001D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9" authorId="0" shapeId="0" xr:uid="{00000000-0006-0000-0400-00001E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20" authorId="0" shapeId="0" xr:uid="{00000000-0006-0000-0400-00001F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20" authorId="0" shapeId="0" xr:uid="{00000000-0006-0000-0400-000020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20" authorId="0" shapeId="0" xr:uid="{00000000-0006-0000-0400-000021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21" authorId="0" shapeId="0" xr:uid="{00000000-0006-0000-0400-000022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21" authorId="0" shapeId="0" xr:uid="{00000000-0006-0000-0400-000023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21" authorId="0" shapeId="0" xr:uid="{00000000-0006-0000-0400-000024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35" authorId="0" shapeId="0" xr:uid="{00000000-0006-0000-0400-000025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35" authorId="0" shapeId="0" xr:uid="{00000000-0006-0000-0400-000026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35" authorId="0" shapeId="0" xr:uid="{00000000-0006-0000-0400-000027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36" authorId="0" shapeId="0" xr:uid="{00000000-0006-0000-0400-000028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36" authorId="0" shapeId="0" xr:uid="{00000000-0006-0000-0400-000029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36" authorId="0" shapeId="0" xr:uid="{00000000-0006-0000-0400-00002A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37" authorId="0" shapeId="0" xr:uid="{00000000-0006-0000-0400-00002B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37" authorId="0" shapeId="0" xr:uid="{00000000-0006-0000-0400-00002C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37" authorId="0" shapeId="0" xr:uid="{00000000-0006-0000-0400-00002D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38" authorId="0" shapeId="0" xr:uid="{00000000-0006-0000-0400-00002E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38" authorId="0" shapeId="0" xr:uid="{00000000-0006-0000-0400-00002F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38" authorId="0" shapeId="0" xr:uid="{00000000-0006-0000-0400-000030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39" authorId="0" shapeId="0" xr:uid="{00000000-0006-0000-0400-000031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39" authorId="0" shapeId="0" xr:uid="{00000000-0006-0000-0400-000032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39" authorId="0" shapeId="0" xr:uid="{00000000-0006-0000-0400-000033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40" authorId="0" shapeId="0" xr:uid="{00000000-0006-0000-0400-000034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40" authorId="0" shapeId="0" xr:uid="{00000000-0006-0000-0400-000035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40" authorId="0" shapeId="0" xr:uid="{00000000-0006-0000-0400-000036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41" authorId="0" shapeId="0" xr:uid="{00000000-0006-0000-0400-000037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41" authorId="0" shapeId="0" xr:uid="{00000000-0006-0000-0400-000038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41" authorId="0" shapeId="0" xr:uid="{00000000-0006-0000-0400-000039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42" authorId="0" shapeId="0" xr:uid="{00000000-0006-0000-0400-00003A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42" authorId="0" shapeId="0" xr:uid="{00000000-0006-0000-0400-00003B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42" authorId="0" shapeId="0" xr:uid="{00000000-0006-0000-0400-00003C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43" authorId="0" shapeId="0" xr:uid="{00000000-0006-0000-0400-00003D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43" authorId="0" shapeId="0" xr:uid="{00000000-0006-0000-0400-00003E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43" authorId="0" shapeId="0" xr:uid="{00000000-0006-0000-0400-00003F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44" authorId="0" shapeId="0" xr:uid="{00000000-0006-0000-0400-000040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44" authorId="0" shapeId="0" xr:uid="{00000000-0006-0000-0400-000041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44" authorId="0" shapeId="0" xr:uid="{00000000-0006-0000-0400-000042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45" authorId="0" shapeId="0" xr:uid="{00000000-0006-0000-0400-000043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45" authorId="0" shapeId="0" xr:uid="{00000000-0006-0000-0400-000044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45" authorId="0" shapeId="0" xr:uid="{00000000-0006-0000-0400-000045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46" authorId="0" shapeId="0" xr:uid="{00000000-0006-0000-0400-000046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46" authorId="0" shapeId="0" xr:uid="{00000000-0006-0000-0400-000047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46" authorId="0" shapeId="0" xr:uid="{00000000-0006-0000-0400-000048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60" authorId="0" shapeId="0" xr:uid="{00000000-0006-0000-0400-000049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60" authorId="0" shapeId="0" xr:uid="{00000000-0006-0000-0400-00004A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60" authorId="0" shapeId="0" xr:uid="{00000000-0006-0000-0400-00004B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61" authorId="0" shapeId="0" xr:uid="{00000000-0006-0000-0400-00004C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61" authorId="0" shapeId="0" xr:uid="{00000000-0006-0000-0400-00004D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61" authorId="0" shapeId="0" xr:uid="{00000000-0006-0000-0400-00004E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62" authorId="0" shapeId="0" xr:uid="{00000000-0006-0000-0400-00004F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62" authorId="0" shapeId="0" xr:uid="{00000000-0006-0000-0400-000050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62" authorId="0" shapeId="0" xr:uid="{00000000-0006-0000-0400-000051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63" authorId="0" shapeId="0" xr:uid="{00000000-0006-0000-0400-000052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63" authorId="0" shapeId="0" xr:uid="{00000000-0006-0000-0400-000053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63" authorId="0" shapeId="0" xr:uid="{00000000-0006-0000-0400-000054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64" authorId="0" shapeId="0" xr:uid="{00000000-0006-0000-0400-000055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64" authorId="0" shapeId="0" xr:uid="{00000000-0006-0000-0400-000056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64" authorId="0" shapeId="0" xr:uid="{00000000-0006-0000-0400-000057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65" authorId="0" shapeId="0" xr:uid="{00000000-0006-0000-0400-000058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65" authorId="0" shapeId="0" xr:uid="{00000000-0006-0000-0400-000059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65" authorId="0" shapeId="0" xr:uid="{00000000-0006-0000-0400-00005A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66" authorId="0" shapeId="0" xr:uid="{00000000-0006-0000-0400-00005B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66" authorId="0" shapeId="0" xr:uid="{00000000-0006-0000-0400-00005C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66" authorId="0" shapeId="0" xr:uid="{00000000-0006-0000-0400-00005D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67" authorId="0" shapeId="0" xr:uid="{00000000-0006-0000-0400-00005E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67" authorId="0" shapeId="0" xr:uid="{00000000-0006-0000-0400-00005F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67" authorId="0" shapeId="0" xr:uid="{00000000-0006-0000-0400-000060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68" authorId="0" shapeId="0" xr:uid="{00000000-0006-0000-0400-000061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68" authorId="0" shapeId="0" xr:uid="{00000000-0006-0000-0400-000062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68" authorId="0" shapeId="0" xr:uid="{00000000-0006-0000-0400-000063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69" authorId="0" shapeId="0" xr:uid="{00000000-0006-0000-0400-000064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69" authorId="0" shapeId="0" xr:uid="{00000000-0006-0000-0400-000065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69" authorId="0" shapeId="0" xr:uid="{00000000-0006-0000-0400-000066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70" authorId="0" shapeId="0" xr:uid="{00000000-0006-0000-0400-000067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70" authorId="0" shapeId="0" xr:uid="{00000000-0006-0000-0400-000068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70" authorId="0" shapeId="0" xr:uid="{00000000-0006-0000-0400-000069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71" authorId="0" shapeId="0" xr:uid="{00000000-0006-0000-0400-00006A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71" authorId="0" shapeId="0" xr:uid="{00000000-0006-0000-0400-00006B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71" authorId="0" shapeId="0" xr:uid="{00000000-0006-0000-0400-00006C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86" authorId="0" shapeId="0" xr:uid="{00000000-0006-0000-0400-00006D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86" authorId="0" shapeId="0" xr:uid="{00000000-0006-0000-0400-00006E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86" authorId="0" shapeId="0" xr:uid="{00000000-0006-0000-0400-00006F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87" authorId="0" shapeId="0" xr:uid="{00000000-0006-0000-0400-000070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87" authorId="0" shapeId="0" xr:uid="{00000000-0006-0000-0400-000071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87" authorId="0" shapeId="0" xr:uid="{00000000-0006-0000-0400-000072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88" authorId="0" shapeId="0" xr:uid="{00000000-0006-0000-0400-000073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88" authorId="0" shapeId="0" xr:uid="{00000000-0006-0000-0400-000074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88" authorId="0" shapeId="0" xr:uid="{00000000-0006-0000-0400-000075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89" authorId="0" shapeId="0" xr:uid="{00000000-0006-0000-0400-000076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89" authorId="0" shapeId="0" xr:uid="{00000000-0006-0000-0400-000077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89" authorId="0" shapeId="0" xr:uid="{00000000-0006-0000-0400-000078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90" authorId="0" shapeId="0" xr:uid="{00000000-0006-0000-0400-000079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90" authorId="0" shapeId="0" xr:uid="{00000000-0006-0000-0400-00007A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90" authorId="0" shapeId="0" xr:uid="{00000000-0006-0000-0400-00007B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91" authorId="0" shapeId="0" xr:uid="{00000000-0006-0000-0400-00007C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91" authorId="0" shapeId="0" xr:uid="{00000000-0006-0000-0400-00007D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91" authorId="0" shapeId="0" xr:uid="{00000000-0006-0000-0400-00007E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92" authorId="0" shapeId="0" xr:uid="{00000000-0006-0000-0400-00007F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92" authorId="0" shapeId="0" xr:uid="{00000000-0006-0000-0400-000080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92" authorId="0" shapeId="0" xr:uid="{00000000-0006-0000-0400-000081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93" authorId="0" shapeId="0" xr:uid="{00000000-0006-0000-0400-000082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93" authorId="0" shapeId="0" xr:uid="{00000000-0006-0000-0400-000083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93" authorId="0" shapeId="0" xr:uid="{00000000-0006-0000-0400-000084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94" authorId="0" shapeId="0" xr:uid="{00000000-0006-0000-0400-000085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94" authorId="0" shapeId="0" xr:uid="{00000000-0006-0000-0400-000086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94" authorId="0" shapeId="0" xr:uid="{00000000-0006-0000-0400-000087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95" authorId="0" shapeId="0" xr:uid="{00000000-0006-0000-0400-000088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95" authorId="0" shapeId="0" xr:uid="{00000000-0006-0000-0400-000089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95" authorId="0" shapeId="0" xr:uid="{00000000-0006-0000-0400-00008A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96" authorId="0" shapeId="0" xr:uid="{00000000-0006-0000-0400-00008B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96" authorId="0" shapeId="0" xr:uid="{00000000-0006-0000-0400-00008C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96" authorId="0" shapeId="0" xr:uid="{00000000-0006-0000-0400-00008D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97" authorId="0" shapeId="0" xr:uid="{00000000-0006-0000-0400-00008E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97" authorId="0" shapeId="0" xr:uid="{00000000-0006-0000-0400-00008F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97" authorId="0" shapeId="0" xr:uid="{00000000-0006-0000-0400-000090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11" authorId="0" shapeId="0" xr:uid="{00000000-0006-0000-0400-000091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11" authorId="0" shapeId="0" xr:uid="{00000000-0006-0000-0400-000092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11" authorId="0" shapeId="0" xr:uid="{00000000-0006-0000-0400-000093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12" authorId="0" shapeId="0" xr:uid="{00000000-0006-0000-0400-000094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12" authorId="0" shapeId="0" xr:uid="{00000000-0006-0000-0400-000095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12" authorId="0" shapeId="0" xr:uid="{00000000-0006-0000-0400-000096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13" authorId="0" shapeId="0" xr:uid="{00000000-0006-0000-0400-000097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13" authorId="0" shapeId="0" xr:uid="{00000000-0006-0000-0400-000098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13" authorId="0" shapeId="0" xr:uid="{00000000-0006-0000-0400-000099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14" authorId="0" shapeId="0" xr:uid="{00000000-0006-0000-0400-00009A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14" authorId="0" shapeId="0" xr:uid="{00000000-0006-0000-0400-00009B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14" authorId="0" shapeId="0" xr:uid="{00000000-0006-0000-0400-00009C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15" authorId="0" shapeId="0" xr:uid="{00000000-0006-0000-0400-00009D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15" authorId="0" shapeId="0" xr:uid="{00000000-0006-0000-0400-00009E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15" authorId="0" shapeId="0" xr:uid="{00000000-0006-0000-0400-00009F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16" authorId="0" shapeId="0" xr:uid="{00000000-0006-0000-0400-0000A0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16" authorId="0" shapeId="0" xr:uid="{00000000-0006-0000-0400-0000A1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16" authorId="0" shapeId="0" xr:uid="{00000000-0006-0000-0400-0000A2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17" authorId="0" shapeId="0" xr:uid="{00000000-0006-0000-0400-0000A3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17" authorId="0" shapeId="0" xr:uid="{00000000-0006-0000-0400-0000A4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17" authorId="0" shapeId="0" xr:uid="{00000000-0006-0000-0400-0000A5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18" authorId="0" shapeId="0" xr:uid="{00000000-0006-0000-0400-0000A6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18" authorId="0" shapeId="0" xr:uid="{00000000-0006-0000-0400-0000A7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18" authorId="0" shapeId="0" xr:uid="{00000000-0006-0000-0400-0000A8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19" authorId="0" shapeId="0" xr:uid="{00000000-0006-0000-0400-0000A9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19" authorId="0" shapeId="0" xr:uid="{00000000-0006-0000-0400-0000AA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19" authorId="0" shapeId="0" xr:uid="{00000000-0006-0000-0400-0000AB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20" authorId="0" shapeId="0" xr:uid="{00000000-0006-0000-0400-0000AC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20" authorId="0" shapeId="0" xr:uid="{00000000-0006-0000-0400-0000AD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20" authorId="0" shapeId="0" xr:uid="{00000000-0006-0000-0400-0000AE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21" authorId="0" shapeId="0" xr:uid="{00000000-0006-0000-0400-0000AF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21" authorId="0" shapeId="0" xr:uid="{00000000-0006-0000-0400-0000B0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21" authorId="0" shapeId="0" xr:uid="{00000000-0006-0000-0400-0000B1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22" authorId="0" shapeId="0" xr:uid="{00000000-0006-0000-0400-0000B2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22" authorId="0" shapeId="0" xr:uid="{00000000-0006-0000-0400-0000B3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22" authorId="0" shapeId="0" xr:uid="{00000000-0006-0000-0400-0000B4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36" authorId="0" shapeId="0" xr:uid="{00000000-0006-0000-0400-0000B5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36" authorId="0" shapeId="0" xr:uid="{00000000-0006-0000-0400-0000B6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36" authorId="0" shapeId="0" xr:uid="{00000000-0006-0000-0400-0000B7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37" authorId="0" shapeId="0" xr:uid="{00000000-0006-0000-0400-0000B8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37" authorId="0" shapeId="0" xr:uid="{00000000-0006-0000-0400-0000B9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37" authorId="0" shapeId="0" xr:uid="{00000000-0006-0000-0400-0000BA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38" authorId="0" shapeId="0" xr:uid="{00000000-0006-0000-0400-0000BB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38" authorId="0" shapeId="0" xr:uid="{00000000-0006-0000-0400-0000BC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38" authorId="0" shapeId="0" xr:uid="{00000000-0006-0000-0400-0000BD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39" authorId="0" shapeId="0" xr:uid="{00000000-0006-0000-0400-0000BE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39" authorId="0" shapeId="0" xr:uid="{00000000-0006-0000-0400-0000BF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39" authorId="0" shapeId="0" xr:uid="{00000000-0006-0000-0400-0000C0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40" authorId="0" shapeId="0" xr:uid="{00000000-0006-0000-0400-0000C1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40" authorId="0" shapeId="0" xr:uid="{00000000-0006-0000-0400-0000C2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40" authorId="0" shapeId="0" xr:uid="{00000000-0006-0000-0400-0000C3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41" authorId="0" shapeId="0" xr:uid="{00000000-0006-0000-0400-0000C4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41" authorId="0" shapeId="0" xr:uid="{00000000-0006-0000-0400-0000C5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41" authorId="0" shapeId="0" xr:uid="{00000000-0006-0000-0400-0000C6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42" authorId="0" shapeId="0" xr:uid="{00000000-0006-0000-0400-0000C7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42" authorId="0" shapeId="0" xr:uid="{00000000-0006-0000-0400-0000C8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42" authorId="0" shapeId="0" xr:uid="{00000000-0006-0000-0400-0000C9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43" authorId="0" shapeId="0" xr:uid="{00000000-0006-0000-0400-0000CA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43" authorId="0" shapeId="0" xr:uid="{00000000-0006-0000-0400-0000CB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43" authorId="0" shapeId="0" xr:uid="{00000000-0006-0000-0400-0000CC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44" authorId="0" shapeId="0" xr:uid="{00000000-0006-0000-0400-0000CD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44" authorId="0" shapeId="0" xr:uid="{00000000-0006-0000-0400-0000CE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44" authorId="0" shapeId="0" xr:uid="{00000000-0006-0000-0400-0000CF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45" authorId="0" shapeId="0" xr:uid="{00000000-0006-0000-0400-0000D0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45" authorId="0" shapeId="0" xr:uid="{00000000-0006-0000-0400-0000D1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45" authorId="0" shapeId="0" xr:uid="{00000000-0006-0000-0400-0000D2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46" authorId="0" shapeId="0" xr:uid="{00000000-0006-0000-0400-0000D3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46" authorId="0" shapeId="0" xr:uid="{00000000-0006-0000-0400-0000D4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46" authorId="0" shapeId="0" xr:uid="{00000000-0006-0000-0400-0000D5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47" authorId="0" shapeId="0" xr:uid="{00000000-0006-0000-0400-0000D6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47" authorId="0" shapeId="0" xr:uid="{00000000-0006-0000-0400-0000D7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47" authorId="0" shapeId="0" xr:uid="{00000000-0006-0000-0400-0000D8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</commentList>
</comments>
</file>

<file path=xl/sharedStrings.xml><?xml version="1.0" encoding="utf-8"?>
<sst xmlns="http://schemas.openxmlformats.org/spreadsheetml/2006/main" count="902" uniqueCount="295">
  <si>
    <t>:</t>
  </si>
  <si>
    <t>Rapel</t>
  </si>
  <si>
    <t>xxx</t>
  </si>
  <si>
    <t>AREA</t>
  </si>
  <si>
    <t>Name</t>
  </si>
  <si>
    <t>Posititon</t>
  </si>
  <si>
    <t>Department</t>
  </si>
  <si>
    <t>Marital Status</t>
  </si>
  <si>
    <t>22043030</t>
  </si>
  <si>
    <t>Date of Join</t>
  </si>
  <si>
    <t>Basic Salary</t>
  </si>
  <si>
    <t>Overtime Substituted</t>
  </si>
  <si>
    <t>Position Allowance</t>
  </si>
  <si>
    <t>Functional Allowance</t>
  </si>
  <si>
    <t>Attendance Allowance</t>
  </si>
  <si>
    <t>Overtime / Premi</t>
  </si>
  <si>
    <t>Bonus</t>
  </si>
  <si>
    <t>Hari Raya Allowance</t>
  </si>
  <si>
    <t>Adjustment</t>
  </si>
  <si>
    <t>Loan</t>
  </si>
  <si>
    <t>BPJS Health</t>
  </si>
  <si>
    <t>BPJS Pension</t>
  </si>
  <si>
    <t>BPJS Jaminan Hari Tua</t>
  </si>
  <si>
    <t>Income Tax 21</t>
  </si>
  <si>
    <t>Absence</t>
  </si>
  <si>
    <t>Total Deduction</t>
  </si>
  <si>
    <t>Total Income</t>
  </si>
  <si>
    <t>Grade</t>
  </si>
  <si>
    <t>Take Home Paid</t>
  </si>
  <si>
    <t>XXX</t>
  </si>
  <si>
    <t>YYY</t>
  </si>
  <si>
    <t>INCOME</t>
  </si>
  <si>
    <t>DEDUCTION</t>
  </si>
  <si>
    <t xml:space="preserve">PT. BIO INTI AGRINDO  </t>
  </si>
  <si>
    <t>NO</t>
  </si>
  <si>
    <t>NAME</t>
  </si>
  <si>
    <t>DEPARTMENT</t>
  </si>
  <si>
    <t>BASIC              SALARY</t>
  </si>
  <si>
    <t>ADJUSTMENT</t>
  </si>
  <si>
    <t>BRUTTO         SALARY</t>
  </si>
  <si>
    <t>KEHADIRAN</t>
  </si>
  <si>
    <t>TOTAL</t>
  </si>
  <si>
    <t>Calculation Salary Employees Jakarta</t>
  </si>
  <si>
    <t>HARI RAYA</t>
  </si>
  <si>
    <t>BONUS</t>
  </si>
  <si>
    <t>RAPEL SALARY</t>
  </si>
  <si>
    <t>RAPEL OVERTIME</t>
  </si>
  <si>
    <t xml:space="preserve">NIK </t>
  </si>
  <si>
    <t>BENTUK MONTHLY SALARY REPORT</t>
  </si>
  <si>
    <t>POSITION</t>
  </si>
  <si>
    <t>GRADE</t>
  </si>
  <si>
    <t>MARITAL STATUS</t>
  </si>
  <si>
    <t>ABSENCE</t>
  </si>
  <si>
    <t>LOAN</t>
  </si>
  <si>
    <t>INCOME TAX 21</t>
  </si>
  <si>
    <t>DATE OF JOIN</t>
  </si>
  <si>
    <t>TAKE HOME PAID</t>
  </si>
  <si>
    <t>BASIC SALARY + ALL FIX ALLOWANCE</t>
  </si>
  <si>
    <t>MAX CALCULATION</t>
  </si>
  <si>
    <t>Based on gvernment regulation must updated every year by APRO or ADMIN if there is change from Government</t>
  </si>
  <si>
    <t>BPJS HEALTH REPORT</t>
  </si>
  <si>
    <t>BPJS TENAGA KERJA REPORT</t>
  </si>
  <si>
    <t>MAX CALCULATION JAMINAN PENSIUN</t>
  </si>
  <si>
    <t>Death assurance</t>
  </si>
  <si>
    <t>Accident assurance</t>
  </si>
  <si>
    <t>Jaminan Hari Tua</t>
  </si>
  <si>
    <t>Jaminan Pensiun</t>
  </si>
  <si>
    <t>0.24%</t>
  </si>
  <si>
    <t>BY COMPANY</t>
  </si>
  <si>
    <t>BY EMPLOYEE</t>
  </si>
  <si>
    <t>Income Tax Calculation</t>
  </si>
  <si>
    <t>Month</t>
  </si>
  <si>
    <t>Status</t>
  </si>
  <si>
    <t>Join date</t>
  </si>
  <si>
    <t>Other Allowances</t>
  </si>
  <si>
    <t>Total Regular Income (F+J+K+L+M)</t>
  </si>
  <si>
    <t>Irregular Income (THR / Bonus)</t>
  </si>
  <si>
    <t>Irregular Income (THR / Bonus) Accumulated</t>
  </si>
  <si>
    <t>Gross Income
(M+O)</t>
  </si>
  <si>
    <t>Occ suport (max 5%)</t>
  </si>
  <si>
    <t>Insurance premium paid by employee
(Accumulated)</t>
  </si>
  <si>
    <t>Total Deduction (Q+S)</t>
  </si>
  <si>
    <t>Monthly Regular Net Income
(P - T)</t>
  </si>
  <si>
    <t>Annualized</t>
  </si>
  <si>
    <t>Monthly Inc Tax Due</t>
  </si>
  <si>
    <t>Current month Inc Tax Due</t>
  </si>
  <si>
    <t>Gross Income</t>
  </si>
  <si>
    <t>Difference</t>
  </si>
  <si>
    <t>Receive Salary</t>
  </si>
  <si>
    <t>Over Time</t>
  </si>
  <si>
    <t>JKK + JKM
(0,24% + 0,30%)</t>
  </si>
  <si>
    <t>JPK / 
BPJS (4%)</t>
  </si>
  <si>
    <t xml:space="preserve">Regular Net Income </t>
  </si>
  <si>
    <t>Irregular Income</t>
  </si>
  <si>
    <t>Total Net Income (V+W)</t>
  </si>
  <si>
    <t>Non Taxable Income</t>
  </si>
  <si>
    <t>Taxable Income
(X-Y)</t>
  </si>
  <si>
    <t>Income Tax Due</t>
  </si>
  <si>
    <t>BPJS Kesehatan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</si>
  <si>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</si>
  <si>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</si>
  <si>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</si>
  <si>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</si>
  <si>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</si>
  <si>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</si>
  <si>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</si>
  <si>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</si>
  <si>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</si>
  <si>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</si>
  <si>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</si>
  <si>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</si>
  <si>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</si>
  <si>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Kariaman</t>
  </si>
  <si>
    <t>M/1</t>
  </si>
  <si>
    <t>Total Basic + Fix Salary
(Rp)</t>
  </si>
  <si>
    <t xml:space="preserve">JHT (2%)
</t>
  </si>
  <si>
    <t xml:space="preserve">Jaminan Pensiun 1%
</t>
  </si>
  <si>
    <t>Calculasi JHT dan Pensiun by Empl</t>
  </si>
  <si>
    <t>Total GROSS SALARY
(Rp)</t>
  </si>
  <si>
    <t>Insurance Premium Paid By Company</t>
  </si>
  <si>
    <t>Based on government regulation must updated every year by APRO or ADMIN if there is change from Government</t>
  </si>
  <si>
    <t>Nomor NPWP</t>
  </si>
  <si>
    <t>RAPEL Overtime</t>
  </si>
  <si>
    <t>Non Fix Allowances</t>
  </si>
  <si>
    <t>Total Non Fix Allowances
(G + H + I)</t>
  </si>
  <si>
    <t>Total Paid ( JHT &amp; Pensiun ) by Empl</t>
  </si>
  <si>
    <t>Employee ID</t>
  </si>
  <si>
    <t>Area</t>
  </si>
  <si>
    <t>EMPLOYEE - HEAD OFFICE JAKARTA</t>
  </si>
  <si>
    <t>Employee Area</t>
  </si>
  <si>
    <t>Office Area</t>
  </si>
  <si>
    <t>Estate Code</t>
  </si>
  <si>
    <t>Division Code</t>
  </si>
  <si>
    <t>Emp ID</t>
  </si>
  <si>
    <t>Full Name</t>
  </si>
  <si>
    <t>Join Date</t>
  </si>
  <si>
    <t>Head Office</t>
  </si>
  <si>
    <t>HO</t>
  </si>
  <si>
    <t>HO11</t>
  </si>
  <si>
    <t>22043051</t>
  </si>
  <si>
    <t>-</t>
  </si>
  <si>
    <t>HO27</t>
  </si>
  <si>
    <t>21051655</t>
  </si>
  <si>
    <t>Riistika Asti</t>
  </si>
  <si>
    <t>A1</t>
  </si>
  <si>
    <t>HO15</t>
  </si>
  <si>
    <t>22063185</t>
  </si>
  <si>
    <t>Muhammad Badiul Ulum</t>
  </si>
  <si>
    <t>22083248</t>
  </si>
  <si>
    <t>Nauval Miraz Kusumah</t>
  </si>
  <si>
    <t>22103249</t>
  </si>
  <si>
    <t>Aldwin Teguh</t>
  </si>
  <si>
    <t>HO10</t>
  </si>
  <si>
    <t>22043035</t>
  </si>
  <si>
    <t>Saut Hamonagan Purba</t>
  </si>
  <si>
    <t>A2</t>
  </si>
  <si>
    <t>11010017</t>
  </si>
  <si>
    <t>Dina Komariah</t>
  </si>
  <si>
    <t>A6</t>
  </si>
  <si>
    <t>11110033</t>
  </si>
  <si>
    <t>Febria Heidina</t>
  </si>
  <si>
    <t>14030207</t>
  </si>
  <si>
    <t>Gusti Arief Rochmansyah</t>
  </si>
  <si>
    <t>HO26</t>
  </si>
  <si>
    <t>15080369</t>
  </si>
  <si>
    <t>Ariny Barroswatti</t>
  </si>
  <si>
    <t>22073244</t>
  </si>
  <si>
    <t>Sopian Saputra</t>
  </si>
  <si>
    <t>HO21</t>
  </si>
  <si>
    <t>22103250</t>
  </si>
  <si>
    <t>Faly Eka Putra</t>
  </si>
  <si>
    <t>07080012</t>
  </si>
  <si>
    <t>Ristiyani</t>
  </si>
  <si>
    <t>A7</t>
  </si>
  <si>
    <t>17110623</t>
  </si>
  <si>
    <t>Suwati Anggraeni</t>
  </si>
  <si>
    <t>21112123</t>
  </si>
  <si>
    <t>Crispin Utomo</t>
  </si>
  <si>
    <t>DM4</t>
  </si>
  <si>
    <t>08060013</t>
  </si>
  <si>
    <t>Edison Panjaitan</t>
  </si>
  <si>
    <t>DM7</t>
  </si>
  <si>
    <t>15010325</t>
  </si>
  <si>
    <t>Jonathan Darma Putra</t>
  </si>
  <si>
    <t>DM5</t>
  </si>
  <si>
    <t>10120015</t>
  </si>
  <si>
    <t>R. GK. Handari,SH</t>
  </si>
  <si>
    <t>GM3</t>
  </si>
  <si>
    <t>11010018</t>
  </si>
  <si>
    <t>Kartika Dewi</t>
  </si>
  <si>
    <t>M1</t>
  </si>
  <si>
    <t>11070024</t>
  </si>
  <si>
    <t>Angga Yudha Prasetya</t>
  </si>
  <si>
    <t>22033022</t>
  </si>
  <si>
    <t>Mohammad Hidayat</t>
  </si>
  <si>
    <t>11060021</t>
  </si>
  <si>
    <t>Purnama Sari Septa Wijaya</t>
  </si>
  <si>
    <t>M2</t>
  </si>
  <si>
    <t>15050358</t>
  </si>
  <si>
    <t>Mahaindra Kusuma</t>
  </si>
  <si>
    <t>18090688</t>
  </si>
  <si>
    <t>Bernard Irawan Sembiring</t>
  </si>
  <si>
    <t>M5</t>
  </si>
  <si>
    <t>11110034</t>
  </si>
  <si>
    <t>Eddi Tristanto</t>
  </si>
  <si>
    <t>M6</t>
  </si>
  <si>
    <t>14070268</t>
  </si>
  <si>
    <t>Zaenul Arifin</t>
  </si>
  <si>
    <t>M7</t>
  </si>
  <si>
    <t>06120011</t>
  </si>
  <si>
    <t>Wawan Robianto</t>
  </si>
  <si>
    <t>N10</t>
  </si>
  <si>
    <t>08070014</t>
  </si>
  <si>
    <t>Sutrisno</t>
  </si>
  <si>
    <t>11010016</t>
  </si>
  <si>
    <t>Waliyo</t>
  </si>
  <si>
    <t>11100026</t>
  </si>
  <si>
    <t>M. Subhan</t>
  </si>
  <si>
    <t>19090749</t>
  </si>
  <si>
    <t>Agustian</t>
  </si>
  <si>
    <t>22053116</t>
  </si>
  <si>
    <t>Syamsul Paujan</t>
  </si>
  <si>
    <t>21112122</t>
  </si>
  <si>
    <t>Cindhitya Maharani Fachresty</t>
  </si>
  <si>
    <t>S1</t>
  </si>
  <si>
    <t>22073247</t>
  </si>
  <si>
    <t>Lukas Yoga Wantoro Aji</t>
  </si>
  <si>
    <t>S2</t>
  </si>
  <si>
    <t>22103251</t>
  </si>
  <si>
    <t>Munthohir</t>
  </si>
  <si>
    <t>S3</t>
  </si>
  <si>
    <t>20111238</t>
  </si>
  <si>
    <t>Tomy Hermansyah</t>
  </si>
  <si>
    <t>S4</t>
  </si>
  <si>
    <t>19010711</t>
  </si>
  <si>
    <t>Inggi Elsa Astria</t>
  </si>
  <si>
    <t>S5</t>
  </si>
  <si>
    <t>20091101</t>
  </si>
  <si>
    <t>Bangkit Ever May NAS</t>
  </si>
  <si>
    <t>17070574</t>
  </si>
  <si>
    <t>Randy Ageng Galih MP</t>
  </si>
  <si>
    <t>S6</t>
  </si>
  <si>
    <t>16060431</t>
  </si>
  <si>
    <t>Risdawati</t>
  </si>
  <si>
    <t>S7</t>
  </si>
  <si>
    <t>LOGO : PT Bio Inti Agrindo</t>
  </si>
  <si>
    <r>
      <t xml:space="preserve">            Pacific Century Place Buiding 17</t>
    </r>
    <r>
      <rPr>
        <vertAlign val="superscript"/>
        <sz val="10"/>
        <color theme="1"/>
        <rFont val="Tahoma"/>
        <family val="2"/>
      </rPr>
      <t>th</t>
    </r>
    <r>
      <rPr>
        <sz val="10"/>
        <color theme="1"/>
        <rFont val="Tahoma"/>
        <family val="2"/>
      </rPr>
      <t xml:space="preserve"> Floor - SCBD Lot 10</t>
    </r>
  </si>
  <si>
    <t xml:space="preserve">            Jalan Jenderal Sudirman Kav. 52-53, Kebayoran Baru</t>
  </si>
  <si>
    <t xml:space="preserve">            Jakarta Selatan, 12190</t>
  </si>
  <si>
    <t>Pay Slip</t>
  </si>
  <si>
    <t>TOTAL DEDUCTION</t>
  </si>
  <si>
    <t>EMPLOYEE - INCOME</t>
  </si>
  <si>
    <t>EMPLOYEE - DEDCUTION</t>
  </si>
  <si>
    <t>BPJS JAMINAN HARI TUA - 2%</t>
  </si>
  <si>
    <t>BPJS PENSION - 1%</t>
  </si>
  <si>
    <t>BPJS HEALTH - 1%</t>
  </si>
  <si>
    <t>Month  :</t>
  </si>
  <si>
    <t>1. Gaji tetap Saja</t>
  </si>
  <si>
    <t>2. Gaji tetap + Bonus/THR</t>
  </si>
  <si>
    <t>3. Gaji tetap + Gaji Tidak Tetap (LEMBUR) + rapel overtime + other allowance</t>
  </si>
  <si>
    <t>Rapel  Salary</t>
  </si>
  <si>
    <t>4. Gaji tetap + Gaji Tidak Tetap + Bonus dan THR</t>
  </si>
  <si>
    <t>5. Gaji tetap + Rapel Gaji</t>
  </si>
  <si>
    <t>Reguler payroll</t>
  </si>
  <si>
    <t>perhatian</t>
  </si>
  <si>
    <t>penting</t>
  </si>
  <si>
    <t>FIX Allowance</t>
  </si>
  <si>
    <t>5. Gaji tetap + Rapel Gaji + Rapel Overtime</t>
  </si>
  <si>
    <t>Aulia Rahma</t>
  </si>
  <si>
    <t>22113346</t>
  </si>
  <si>
    <t>empID</t>
  </si>
  <si>
    <t>EMPLOYEE AREA (PHRPA0002)</t>
  </si>
  <si>
    <t>PHRPA002 ( DIVISION CODE)</t>
  </si>
  <si>
    <t>PAYROLL GRADE (PHRPA003)</t>
  </si>
  <si>
    <t>TAX STATUS</t>
  </si>
  <si>
    <t>TI</t>
  </si>
  <si>
    <t>BARU</t>
  </si>
  <si>
    <t>MT</t>
  </si>
  <si>
    <t>baru</t>
  </si>
  <si>
    <t>PT02(Potongan Absen)</t>
  </si>
  <si>
    <t>PHRPA0002 (Posisition)</t>
  </si>
  <si>
    <t>PT90</t>
  </si>
  <si>
    <t>JER1</t>
  </si>
  <si>
    <t>BPS1</t>
  </si>
  <si>
    <t>BJS1</t>
  </si>
  <si>
    <t>POTONGAN SPSI</t>
  </si>
  <si>
    <t>Tunj Jabatan</t>
  </si>
  <si>
    <t>Tunj Massa Kerja</t>
  </si>
  <si>
    <t>Tunj Kehadiran</t>
  </si>
  <si>
    <t>Tunj Kesehatan</t>
  </si>
  <si>
    <t>Tunj Kerja Hari libur</t>
  </si>
  <si>
    <t>Tunj Teknis</t>
  </si>
  <si>
    <t>Overtime</t>
  </si>
  <si>
    <t>PT10</t>
  </si>
  <si>
    <t>TMK PHRPA0001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</si>
</sst>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164" formatCode="mm/dd/yy;@"/>
    <numFmt numFmtId="165" formatCode="_(* #,##0.00_);_(* \(#,##0.00\);_(* &quot;-&quot;??_);_(@_)"/>
    <numFmt numFmtId="166" formatCode="_(* #,##0_);_(* \(#,##0\);_(* &quot;-&quot;??_);_(@_)"/>
    <numFmt numFmtId="167" formatCode="[$-409]mmm\-yy;@"/>
    <numFmt numFmtId="168" formatCode="_-&quot;₩&quot;* #,##0_-;\-&quot;₩&quot;* #,##0_-;_-&quot;₩&quot;* &quot;-&quot;_-;_-@_-"/>
    <numFmt numFmtId="169" formatCode="_-[$Rp-421]* #,##0_ ;_-[$Rp-421]* \-#,##0\ ;_-[$Rp-421]* &quot;-&quot;_ ;_-@_ "/>
    <numFmt numFmtId="170" formatCode="_(* #,##0_);_(* \(#,##0\);_(* &quot;-&quot;_);_(@_)"/>
    <numFmt numFmtId="171" formatCode="_-* #,##0_-;\-* #,##0_-;_-* &quot;-&quot;??_-;_-@_-"/>
    <numFmt numFmtId="172" formatCode="[$-10409]dd/mm/yyyy"/>
  </numFmts>
  <fonts count="3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6"/>
      <color theme="1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sz val="11"/>
      <color indexed="9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</font>
    <font>
      <sz val="18"/>
      <name val="Calibri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i/>
      <sz val="8"/>
      <name val="Arial"/>
      <family val="2"/>
    </font>
    <font>
      <b/>
      <sz val="9"/>
      <color indexed="81"/>
      <name val="Tahoma"/>
      <family val="2"/>
    </font>
    <font>
      <b/>
      <sz val="11"/>
      <color theme="1"/>
      <name val="Cambria"/>
      <family val="1"/>
    </font>
    <font>
      <sz val="10"/>
      <color theme="1"/>
      <name val="Tahoma"/>
      <family val="2"/>
    </font>
    <font>
      <vertAlign val="superscript"/>
      <sz val="10"/>
      <color theme="1"/>
      <name val="Tahoma"/>
      <family val="2"/>
    </font>
    <font>
      <sz val="10"/>
      <color theme="1"/>
      <name val="Times New Roman"/>
      <family val="1"/>
    </font>
    <font>
      <b/>
      <u/>
      <sz val="18"/>
      <color rgb="FF000000"/>
      <name val="Garamond"/>
      <family val="1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6"/>
      <color theme="1"/>
      <name val="Times New Roman"/>
      <family val="1"/>
    </font>
    <font>
      <sz val="14"/>
      <color theme="1"/>
      <name val="Cambria"/>
      <family val="1"/>
      <scheme val="major"/>
    </font>
    <font>
      <b/>
      <sz val="16"/>
      <name val="Calibri"/>
      <family val="2"/>
    </font>
    <font>
      <sz val="10"/>
      <color rgb="FFFF0000"/>
      <name val="Arial"/>
      <family val="2"/>
    </font>
    <font>
      <sz val="11"/>
      <name val="돋움"/>
      <family val="3"/>
      <charset val="129"/>
    </font>
    <font>
      <sz val="11"/>
      <color theme="1"/>
      <name val="Calibri"/>
      <family val="3"/>
      <charset val="129"/>
      <scheme val="minor"/>
    </font>
    <font>
      <sz val="8"/>
      <color indexed="8"/>
      <name val="Tahoma"/>
      <charset val="1"/>
    </font>
    <font>
      <b/>
      <sz val="9"/>
      <name val="Calibri"/>
      <family val="2"/>
    </font>
    <font>
      <b/>
      <sz val="7"/>
      <name val="Calibri"/>
      <family val="2"/>
    </font>
    <font>
      <sz val="10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6" fillId="0" borderId="0"/>
    <xf numFmtId="165" fontId="16" fillId="0" borderId="0" applyFont="0" applyFill="0" applyBorder="0" applyAlignment="0" applyProtection="0"/>
    <xf numFmtId="0" fontId="18" fillId="0" borderId="0"/>
    <xf numFmtId="170" fontId="1" fillId="0" borderId="0" applyFont="0" applyFill="0" applyBorder="0" applyAlignment="0" applyProtection="0"/>
    <xf numFmtId="0" fontId="32" fillId="0" borderId="0">
      <alignment vertical="center"/>
    </xf>
    <xf numFmtId="41" fontId="33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170" fontId="16" fillId="0" borderId="0" applyFont="0" applyFill="0" applyBorder="0" applyAlignment="0" applyProtection="0"/>
  </cellStyleXfs>
  <cellXfs count="272">
    <xf numFmtId="0" fontId="0" fillId="0" borderId="0" xfId="0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166" fontId="2" fillId="0" borderId="0" xfId="1" applyNumberFormat="1" applyFont="1" applyBorder="1" applyAlignment="1">
      <alignment vertical="center"/>
    </xf>
    <xf numFmtId="166" fontId="4" fillId="0" borderId="0" xfId="1" applyNumberFormat="1" applyFont="1" applyBorder="1" applyAlignment="1">
      <alignment vertical="center"/>
    </xf>
    <xf numFmtId="166" fontId="3" fillId="0" borderId="0" xfId="1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7" fontId="2" fillId="0" borderId="0" xfId="0" quotePrefix="1" applyNumberFormat="1" applyFont="1" applyAlignment="1">
      <alignment horizontal="center" vertical="center"/>
    </xf>
    <xf numFmtId="0" fontId="2" fillId="0" borderId="0" xfId="0" quotePrefix="1" applyFont="1" applyAlignment="1">
      <alignment vertical="center"/>
    </xf>
    <xf numFmtId="166" fontId="2" fillId="0" borderId="0" xfId="0" applyNumberFormat="1" applyFont="1" applyAlignment="1">
      <alignment vertical="center"/>
    </xf>
    <xf numFmtId="166" fontId="2" fillId="0" borderId="0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164" fontId="3" fillId="0" borderId="8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6" fillId="0" borderId="0" xfId="0" applyFont="1"/>
    <xf numFmtId="41" fontId="6" fillId="0" borderId="0" xfId="2" applyFont="1" applyFill="1"/>
    <xf numFmtId="0" fontId="7" fillId="0" borderId="0" xfId="2" applyNumberFormat="1" applyFont="1" applyFill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2" applyNumberFormat="1" applyFont="1" applyFill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3" borderId="0" xfId="0" applyFont="1" applyFill="1"/>
    <xf numFmtId="169" fontId="6" fillId="3" borderId="1" xfId="0" applyNumberFormat="1" applyFont="1" applyFill="1" applyBorder="1"/>
    <xf numFmtId="0" fontId="7" fillId="0" borderId="0" xfId="0" applyFont="1" applyAlignment="1">
      <alignment horizontal="center" vertical="center" wrapText="1"/>
    </xf>
    <xf numFmtId="41" fontId="7" fillId="0" borderId="0" xfId="2" applyFont="1" applyFill="1" applyBorder="1" applyAlignment="1">
      <alignment horizontal="center" vertical="center" wrapText="1"/>
    </xf>
    <xf numFmtId="169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3" borderId="22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3" borderId="24" xfId="0" applyFont="1" applyFill="1" applyBorder="1"/>
    <xf numFmtId="168" fontId="13" fillId="4" borderId="26" xfId="0" applyNumberFormat="1" applyFont="1" applyFill="1" applyBorder="1" applyAlignment="1">
      <alignment horizontal="center" vertical="center" wrapText="1"/>
    </xf>
    <xf numFmtId="168" fontId="13" fillId="4" borderId="2" xfId="0" applyNumberFormat="1" applyFont="1" applyFill="1" applyBorder="1" applyAlignment="1">
      <alignment horizontal="center" vertical="center" wrapText="1"/>
    </xf>
    <xf numFmtId="0" fontId="6" fillId="3" borderId="31" xfId="0" applyFont="1" applyFill="1" applyBorder="1"/>
    <xf numFmtId="0" fontId="6" fillId="3" borderId="32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15" fillId="4" borderId="25" xfId="0" applyFont="1" applyFill="1" applyBorder="1" applyAlignment="1">
      <alignment horizontal="center" vertical="center"/>
    </xf>
    <xf numFmtId="41" fontId="15" fillId="4" borderId="25" xfId="2" applyFont="1" applyFill="1" applyBorder="1" applyAlignment="1">
      <alignment horizontal="center" vertical="center"/>
    </xf>
    <xf numFmtId="168" fontId="15" fillId="4" borderId="25" xfId="0" applyNumberFormat="1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wrapText="1"/>
    </xf>
    <xf numFmtId="0" fontId="11" fillId="4" borderId="2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10" fontId="11" fillId="4" borderId="25" xfId="0" applyNumberFormat="1" applyFont="1" applyFill="1" applyBorder="1" applyAlignment="1">
      <alignment horizontal="center" vertical="center"/>
    </xf>
    <xf numFmtId="9" fontId="11" fillId="4" borderId="25" xfId="0" applyNumberFormat="1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17" fillId="0" borderId="0" xfId="4" applyFont="1" applyProtection="1">
      <protection hidden="1"/>
    </xf>
    <xf numFmtId="0" fontId="16" fillId="0" borderId="0" xfId="4" applyProtection="1">
      <protection hidden="1"/>
    </xf>
    <xf numFmtId="166" fontId="16" fillId="0" borderId="0" xfId="5" quotePrefix="1" applyNumberFormat="1" applyFont="1" applyFill="1" applyProtection="1">
      <protection hidden="1"/>
    </xf>
    <xf numFmtId="166" fontId="16" fillId="0" borderId="0" xfId="5" applyNumberFormat="1" applyFont="1" applyFill="1" applyProtection="1">
      <protection hidden="1"/>
    </xf>
    <xf numFmtId="166" fontId="16" fillId="0" borderId="0" xfId="5" applyNumberFormat="1" applyFont="1" applyFill="1" applyAlignment="1" applyProtection="1">
      <alignment horizontal="center"/>
      <protection hidden="1"/>
    </xf>
    <xf numFmtId="166" fontId="16" fillId="0" borderId="0" xfId="5" quotePrefix="1" applyNumberFormat="1" applyFont="1" applyFill="1" applyAlignment="1" applyProtection="1">
      <alignment horizontal="center"/>
      <protection hidden="1"/>
    </xf>
    <xf numFmtId="0" fontId="17" fillId="0" borderId="25" xfId="4" applyFont="1" applyBorder="1"/>
    <xf numFmtId="0" fontId="16" fillId="0" borderId="1" xfId="4" applyBorder="1" applyProtection="1">
      <protection hidden="1"/>
    </xf>
    <xf numFmtId="166" fontId="17" fillId="0" borderId="0" xfId="5" applyNumberFormat="1" applyFont="1" applyFill="1" applyBorder="1" applyProtection="1">
      <protection hidden="1"/>
    </xf>
    <xf numFmtId="166" fontId="17" fillId="0" borderId="3" xfId="5" applyNumberFormat="1" applyFont="1" applyFill="1" applyBorder="1" applyProtection="1">
      <protection hidden="1"/>
    </xf>
    <xf numFmtId="0" fontId="17" fillId="0" borderId="34" xfId="4" applyFont="1" applyBorder="1" applyAlignment="1" applyProtection="1">
      <alignment horizontal="center" vertical="center"/>
      <protection hidden="1"/>
    </xf>
    <xf numFmtId="166" fontId="17" fillId="0" borderId="19" xfId="5" applyNumberFormat="1" applyFont="1" applyFill="1" applyBorder="1" applyAlignment="1" applyProtection="1">
      <alignment horizontal="center" vertical="center" wrapText="1"/>
      <protection hidden="1"/>
    </xf>
    <xf numFmtId="0" fontId="17" fillId="0" borderId="19" xfId="4" applyFont="1" applyBorder="1" applyAlignment="1" applyProtection="1">
      <alignment horizontal="center" vertical="center" wrapText="1"/>
      <protection hidden="1"/>
    </xf>
    <xf numFmtId="166" fontId="16" fillId="0" borderId="37" xfId="5" applyNumberFormat="1" applyFont="1" applyFill="1" applyBorder="1" applyProtection="1">
      <protection hidden="1"/>
    </xf>
    <xf numFmtId="166" fontId="16" fillId="0" borderId="0" xfId="5" applyNumberFormat="1" applyFont="1" applyFill="1" applyBorder="1" applyProtection="1">
      <protection hidden="1"/>
    </xf>
    <xf numFmtId="166" fontId="16" fillId="0" borderId="38" xfId="5" applyNumberFormat="1" applyFont="1" applyFill="1" applyBorder="1" applyProtection="1">
      <protection hidden="1"/>
    </xf>
    <xf numFmtId="0" fontId="16" fillId="0" borderId="37" xfId="4" applyBorder="1" applyProtection="1">
      <protection hidden="1"/>
    </xf>
    <xf numFmtId="0" fontId="16" fillId="0" borderId="38" xfId="4" applyBorder="1" applyProtection="1">
      <protection hidden="1"/>
    </xf>
    <xf numFmtId="0" fontId="17" fillId="0" borderId="1" xfId="4" applyFont="1" applyBorder="1" applyProtection="1">
      <protection hidden="1"/>
    </xf>
    <xf numFmtId="170" fontId="16" fillId="0" borderId="37" xfId="6" applyNumberFormat="1" applyFont="1" applyBorder="1"/>
    <xf numFmtId="166" fontId="16" fillId="0" borderId="38" xfId="4" applyNumberFormat="1" applyBorder="1" applyProtection="1">
      <protection hidden="1"/>
    </xf>
    <xf numFmtId="166" fontId="16" fillId="0" borderId="37" xfId="4" applyNumberFormat="1" applyBorder="1" applyProtection="1">
      <protection hidden="1"/>
    </xf>
    <xf numFmtId="166" fontId="19" fillId="0" borderId="37" xfId="4" applyNumberFormat="1" applyFont="1" applyBorder="1" applyProtection="1">
      <protection hidden="1"/>
    </xf>
    <xf numFmtId="166" fontId="16" fillId="0" borderId="0" xfId="4" applyNumberFormat="1" applyProtection="1">
      <protection hidden="1"/>
    </xf>
    <xf numFmtId="170" fontId="16" fillId="0" borderId="0" xfId="7" applyFont="1" applyFill="1" applyProtection="1">
      <protection hidden="1"/>
    </xf>
    <xf numFmtId="0" fontId="17" fillId="0" borderId="2" xfId="4" applyFont="1" applyBorder="1" applyProtection="1">
      <protection hidden="1"/>
    </xf>
    <xf numFmtId="0" fontId="17" fillId="2" borderId="31" xfId="4" applyFont="1" applyFill="1" applyBorder="1" applyProtection="1">
      <protection hidden="1"/>
    </xf>
    <xf numFmtId="166" fontId="17" fillId="2" borderId="24" xfId="5" applyNumberFormat="1" applyFont="1" applyFill="1" applyBorder="1" applyProtection="1">
      <protection hidden="1"/>
    </xf>
    <xf numFmtId="166" fontId="17" fillId="2" borderId="27" xfId="5" applyNumberFormat="1" applyFont="1" applyFill="1" applyBorder="1" applyProtection="1">
      <protection hidden="1"/>
    </xf>
    <xf numFmtId="166" fontId="17" fillId="2" borderId="24" xfId="4" applyNumberFormat="1" applyFont="1" applyFill="1" applyBorder="1" applyProtection="1">
      <protection hidden="1"/>
    </xf>
    <xf numFmtId="166" fontId="17" fillId="2" borderId="31" xfId="4" applyNumberFormat="1" applyFont="1" applyFill="1" applyBorder="1" applyProtection="1">
      <protection hidden="1"/>
    </xf>
    <xf numFmtId="0" fontId="16" fillId="2" borderId="24" xfId="4" applyFill="1" applyBorder="1" applyProtection="1">
      <protection hidden="1"/>
    </xf>
    <xf numFmtId="0" fontId="16" fillId="0" borderId="2" xfId="4" applyBorder="1" applyProtection="1">
      <protection hidden="1"/>
    </xf>
    <xf numFmtId="166" fontId="16" fillId="0" borderId="4" xfId="5" applyNumberFormat="1" applyFont="1" applyFill="1" applyBorder="1" applyProtection="1">
      <protection hidden="1"/>
    </xf>
    <xf numFmtId="166" fontId="16" fillId="0" borderId="4" xfId="4" applyNumberFormat="1" applyBorder="1" applyProtection="1">
      <protection hidden="1"/>
    </xf>
    <xf numFmtId="0" fontId="16" fillId="0" borderId="4" xfId="4" applyBorder="1" applyProtection="1">
      <protection hidden="1"/>
    </xf>
    <xf numFmtId="0" fontId="16" fillId="0" borderId="19" xfId="4" applyBorder="1" applyProtection="1">
      <protection hidden="1"/>
    </xf>
    <xf numFmtId="3" fontId="16" fillId="0" borderId="0" xfId="4" applyNumberFormat="1" applyProtection="1">
      <protection hidden="1"/>
    </xf>
    <xf numFmtId="171" fontId="16" fillId="0" borderId="0" xfId="1" applyNumberFormat="1" applyFont="1" applyFill="1" applyProtection="1">
      <protection hidden="1"/>
    </xf>
    <xf numFmtId="166" fontId="16" fillId="0" borderId="38" xfId="5" quotePrefix="1" applyNumberFormat="1" applyFont="1" applyFill="1" applyBorder="1" applyProtection="1">
      <protection hidden="1"/>
    </xf>
    <xf numFmtId="166" fontId="17" fillId="6" borderId="40" xfId="5" applyNumberFormat="1" applyFont="1" applyFill="1" applyBorder="1" applyAlignment="1" applyProtection="1">
      <alignment horizontal="center" vertical="center" wrapText="1"/>
      <protection hidden="1"/>
    </xf>
    <xf numFmtId="166" fontId="17" fillId="6" borderId="19" xfId="5" applyNumberFormat="1" applyFont="1" applyFill="1" applyBorder="1" applyAlignment="1" applyProtection="1">
      <alignment horizontal="center" vertical="center" wrapText="1"/>
      <protection hidden="1"/>
    </xf>
    <xf numFmtId="166" fontId="17" fillId="5" borderId="25" xfId="5" applyNumberFormat="1" applyFont="1" applyFill="1" applyBorder="1" applyAlignment="1" applyProtection="1">
      <alignment horizontal="center" vertical="center" wrapText="1"/>
      <protection hidden="1"/>
    </xf>
    <xf numFmtId="166" fontId="17" fillId="7" borderId="19" xfId="5" applyNumberFormat="1" applyFont="1" applyFill="1" applyBorder="1" applyAlignment="1" applyProtection="1">
      <alignment horizontal="center" vertical="center" wrapText="1"/>
      <protection hidden="1"/>
    </xf>
    <xf numFmtId="0" fontId="16" fillId="0" borderId="37" xfId="4" applyBorder="1" applyAlignment="1" applyProtection="1">
      <alignment horizontal="center"/>
      <protection hidden="1"/>
    </xf>
    <xf numFmtId="15" fontId="16" fillId="0" borderId="1" xfId="4" applyNumberFormat="1" applyBorder="1" applyProtection="1">
      <protection hidden="1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1" fillId="0" borderId="8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166" fontId="17" fillId="5" borderId="19" xfId="5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Alignment="1">
      <alignment horizontal="center" vertical="top" wrapText="1" readingOrder="1"/>
    </xf>
    <xf numFmtId="0" fontId="26" fillId="0" borderId="43" xfId="0" applyFont="1" applyBorder="1" applyAlignment="1">
      <alignment horizontal="center" vertical="center" wrapText="1" readingOrder="1"/>
    </xf>
    <xf numFmtId="0" fontId="27" fillId="0" borderId="43" xfId="0" applyFont="1" applyBorder="1" applyAlignment="1">
      <alignment vertical="top" wrapText="1" readingOrder="1"/>
    </xf>
    <xf numFmtId="0" fontId="27" fillId="0" borderId="43" xfId="0" applyFont="1" applyBorder="1" applyAlignment="1">
      <alignment horizontal="center" vertical="top" wrapText="1" readingOrder="1"/>
    </xf>
    <xf numFmtId="172" fontId="27" fillId="0" borderId="43" xfId="0" applyNumberFormat="1" applyFont="1" applyBorder="1" applyAlignment="1">
      <alignment horizontal="center" vertical="top" wrapText="1" readingOrder="1"/>
    </xf>
    <xf numFmtId="0" fontId="27" fillId="2" borderId="43" xfId="0" applyFont="1" applyFill="1" applyBorder="1" applyAlignment="1">
      <alignment horizontal="center" vertical="top" wrapText="1" readingOrder="1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41" fontId="6" fillId="3" borderId="22" xfId="2" applyFont="1" applyFill="1" applyBorder="1" applyAlignment="1">
      <alignment horizontal="center"/>
    </xf>
    <xf numFmtId="0" fontId="30" fillId="0" borderId="44" xfId="0" applyFont="1" applyBorder="1" applyAlignment="1">
      <alignment vertical="center" wrapText="1"/>
    </xf>
    <xf numFmtId="41" fontId="6" fillId="3" borderId="45" xfId="2" applyFont="1" applyFill="1" applyBorder="1" applyAlignment="1">
      <alignment horizontal="center"/>
    </xf>
    <xf numFmtId="0" fontId="6" fillId="3" borderId="46" xfId="0" applyFont="1" applyFill="1" applyBorder="1" applyAlignment="1">
      <alignment horizontal="center"/>
    </xf>
    <xf numFmtId="0" fontId="17" fillId="0" borderId="34" xfId="4" applyFont="1" applyBorder="1"/>
    <xf numFmtId="166" fontId="31" fillId="2" borderId="0" xfId="5" applyNumberFormat="1" applyFont="1" applyFill="1" applyProtection="1">
      <protection hidden="1"/>
    </xf>
    <xf numFmtId="0" fontId="31" fillId="2" borderId="1" xfId="4" applyFont="1" applyFill="1" applyBorder="1" applyProtection="1">
      <protection hidden="1"/>
    </xf>
    <xf numFmtId="166" fontId="17" fillId="0" borderId="0" xfId="5" applyNumberFormat="1" applyFont="1" applyFill="1" applyProtection="1">
      <protection hidden="1"/>
    </xf>
    <xf numFmtId="166" fontId="17" fillId="5" borderId="25" xfId="5" applyNumberFormat="1" applyFont="1" applyFill="1" applyBorder="1" applyAlignment="1" applyProtection="1">
      <alignment horizontal="centerContinuous" vertical="center" wrapText="1"/>
      <protection hidden="1"/>
    </xf>
    <xf numFmtId="166" fontId="16" fillId="8" borderId="0" xfId="5" applyNumberFormat="1" applyFont="1" applyFill="1" applyBorder="1" applyProtection="1">
      <protection hidden="1"/>
    </xf>
    <xf numFmtId="166" fontId="16" fillId="8" borderId="37" xfId="5" applyNumberFormat="1" applyFont="1" applyFill="1" applyBorder="1" applyProtection="1">
      <protection hidden="1"/>
    </xf>
    <xf numFmtId="0" fontId="16" fillId="8" borderId="0" xfId="4" applyFill="1" applyProtection="1">
      <protection hidden="1"/>
    </xf>
    <xf numFmtId="0" fontId="17" fillId="9" borderId="1" xfId="4" applyFont="1" applyFill="1" applyBorder="1" applyProtection="1">
      <protection hidden="1"/>
    </xf>
    <xf numFmtId="0" fontId="16" fillId="9" borderId="37" xfId="4" applyFill="1" applyBorder="1" applyAlignment="1" applyProtection="1">
      <alignment horizontal="center"/>
      <protection hidden="1"/>
    </xf>
    <xf numFmtId="15" fontId="16" fillId="9" borderId="1" xfId="4" applyNumberFormat="1" applyFill="1" applyBorder="1" applyProtection="1">
      <protection hidden="1"/>
    </xf>
    <xf numFmtId="166" fontId="16" fillId="9" borderId="37" xfId="5" applyNumberFormat="1" applyFont="1" applyFill="1" applyBorder="1" applyProtection="1">
      <protection hidden="1"/>
    </xf>
    <xf numFmtId="170" fontId="16" fillId="9" borderId="37" xfId="6" applyNumberFormat="1" applyFont="1" applyFill="1" applyBorder="1"/>
    <xf numFmtId="166" fontId="16" fillId="9" borderId="38" xfId="5" applyNumberFormat="1" applyFont="1" applyFill="1" applyBorder="1" applyProtection="1">
      <protection hidden="1"/>
    </xf>
    <xf numFmtId="166" fontId="16" fillId="9" borderId="38" xfId="5" quotePrefix="1" applyNumberFormat="1" applyFont="1" applyFill="1" applyBorder="1" applyProtection="1">
      <protection hidden="1"/>
    </xf>
    <xf numFmtId="166" fontId="16" fillId="9" borderId="38" xfId="4" applyNumberFormat="1" applyFill="1" applyBorder="1" applyProtection="1">
      <protection hidden="1"/>
    </xf>
    <xf numFmtId="166" fontId="16" fillId="9" borderId="37" xfId="4" applyNumberFormat="1" applyFill="1" applyBorder="1" applyProtection="1">
      <protection hidden="1"/>
    </xf>
    <xf numFmtId="166" fontId="19" fillId="9" borderId="37" xfId="4" applyNumberFormat="1" applyFont="1" applyFill="1" applyBorder="1" applyProtection="1">
      <protection hidden="1"/>
    </xf>
    <xf numFmtId="0" fontId="16" fillId="9" borderId="0" xfId="4" applyFill="1" applyProtection="1">
      <protection hidden="1"/>
    </xf>
    <xf numFmtId="166" fontId="16" fillId="9" borderId="0" xfId="4" applyNumberFormat="1" applyFill="1" applyProtection="1">
      <protection hidden="1"/>
    </xf>
    <xf numFmtId="0" fontId="17" fillId="10" borderId="1" xfId="4" applyFont="1" applyFill="1" applyBorder="1" applyProtection="1">
      <protection hidden="1"/>
    </xf>
    <xf numFmtId="0" fontId="16" fillId="10" borderId="37" xfId="4" applyFill="1" applyBorder="1" applyAlignment="1" applyProtection="1">
      <alignment horizontal="center"/>
      <protection hidden="1"/>
    </xf>
    <xf numFmtId="15" fontId="16" fillId="10" borderId="1" xfId="4" applyNumberFormat="1" applyFill="1" applyBorder="1" applyProtection="1">
      <protection hidden="1"/>
    </xf>
    <xf numFmtId="166" fontId="16" fillId="10" borderId="37" xfId="5" applyNumberFormat="1" applyFont="1" applyFill="1" applyBorder="1" applyProtection="1">
      <protection hidden="1"/>
    </xf>
    <xf numFmtId="170" fontId="16" fillId="10" borderId="37" xfId="6" applyNumberFormat="1" applyFont="1" applyFill="1" applyBorder="1"/>
    <xf numFmtId="166" fontId="16" fillId="10" borderId="38" xfId="5" applyNumberFormat="1" applyFont="1" applyFill="1" applyBorder="1" applyProtection="1">
      <protection hidden="1"/>
    </xf>
    <xf numFmtId="166" fontId="16" fillId="10" borderId="38" xfId="5" quotePrefix="1" applyNumberFormat="1" applyFont="1" applyFill="1" applyBorder="1" applyProtection="1">
      <protection hidden="1"/>
    </xf>
    <xf numFmtId="166" fontId="16" fillId="10" borderId="38" xfId="4" applyNumberFormat="1" applyFill="1" applyBorder="1" applyProtection="1">
      <protection hidden="1"/>
    </xf>
    <xf numFmtId="166" fontId="16" fillId="10" borderId="37" xfId="4" applyNumberFormat="1" applyFill="1" applyBorder="1" applyProtection="1">
      <protection hidden="1"/>
    </xf>
    <xf numFmtId="166" fontId="19" fillId="10" borderId="37" xfId="4" applyNumberFormat="1" applyFont="1" applyFill="1" applyBorder="1" applyProtection="1">
      <protection hidden="1"/>
    </xf>
    <xf numFmtId="0" fontId="16" fillId="10" borderId="0" xfId="4" applyFill="1" applyProtection="1">
      <protection hidden="1"/>
    </xf>
    <xf numFmtId="166" fontId="16" fillId="10" borderId="0" xfId="4" applyNumberFormat="1" applyFill="1" applyProtection="1">
      <protection hidden="1"/>
    </xf>
    <xf numFmtId="166" fontId="16" fillId="11" borderId="37" xfId="5" applyNumberFormat="1" applyFont="1" applyFill="1" applyBorder="1" applyProtection="1">
      <protection hidden="1"/>
    </xf>
    <xf numFmtId="166" fontId="16" fillId="11" borderId="38" xfId="5" applyNumberFormat="1" applyFont="1" applyFill="1" applyBorder="1" applyProtection="1">
      <protection hidden="1"/>
    </xf>
    <xf numFmtId="166" fontId="17" fillId="2" borderId="0" xfId="5" applyNumberFormat="1" applyFont="1" applyFill="1" applyBorder="1" applyProtection="1">
      <protection hidden="1"/>
    </xf>
    <xf numFmtId="166" fontId="17" fillId="2" borderId="0" xfId="5" applyNumberFormat="1" applyFont="1" applyFill="1" applyProtection="1">
      <protection hidden="1"/>
    </xf>
    <xf numFmtId="166" fontId="16" fillId="2" borderId="0" xfId="5" applyNumberFormat="1" applyFont="1" applyFill="1" applyProtection="1">
      <protection hidden="1"/>
    </xf>
    <xf numFmtId="0" fontId="16" fillId="2" borderId="0" xfId="4" applyFill="1" applyProtection="1">
      <protection hidden="1"/>
    </xf>
    <xf numFmtId="0" fontId="34" fillId="0" borderId="47" xfId="0" applyFont="1" applyBorder="1" applyAlignment="1" applyProtection="1">
      <alignment horizontal="center" vertical="top" wrapText="1" readingOrder="1"/>
      <protection locked="0"/>
    </xf>
    <xf numFmtId="0" fontId="34" fillId="0" borderId="47" xfId="0" applyFont="1" applyBorder="1" applyAlignment="1" applyProtection="1">
      <alignment vertical="top" wrapText="1" readingOrder="1"/>
      <protection locked="0"/>
    </xf>
    <xf numFmtId="0" fontId="27" fillId="2" borderId="43" xfId="0" applyFont="1" applyFill="1" applyBorder="1" applyAlignment="1">
      <alignment vertical="top" wrapText="1" readingOrder="1"/>
    </xf>
    <xf numFmtId="172" fontId="34" fillId="0" borderId="47" xfId="0" applyNumberFormat="1" applyFont="1" applyBorder="1" applyAlignment="1" applyProtection="1">
      <alignment horizontal="center" vertical="top" wrapText="1" readingOrder="1"/>
      <protection locked="0"/>
    </xf>
    <xf numFmtId="0" fontId="17" fillId="2" borderId="19" xfId="4" applyFont="1" applyFill="1" applyBorder="1" applyAlignment="1" applyProtection="1">
      <alignment horizontal="center" vertical="center" wrapText="1"/>
      <protection hidden="1"/>
    </xf>
    <xf numFmtId="166" fontId="17" fillId="2" borderId="19" xfId="5" applyNumberFormat="1" applyFont="1" applyFill="1" applyBorder="1" applyAlignment="1" applyProtection="1">
      <alignment horizontal="center" vertical="center" wrapText="1"/>
      <protection hidden="1"/>
    </xf>
    <xf numFmtId="0" fontId="17" fillId="12" borderId="1" xfId="4" applyFont="1" applyFill="1" applyBorder="1" applyProtection="1">
      <protection hidden="1"/>
    </xf>
    <xf numFmtId="0" fontId="16" fillId="12" borderId="37" xfId="4" applyFill="1" applyBorder="1" applyAlignment="1" applyProtection="1">
      <alignment horizontal="center"/>
      <protection hidden="1"/>
    </xf>
    <xf numFmtId="15" fontId="16" fillId="12" borderId="1" xfId="4" applyNumberFormat="1" applyFill="1" applyBorder="1" applyProtection="1">
      <protection hidden="1"/>
    </xf>
    <xf numFmtId="166" fontId="16" fillId="12" borderId="37" xfId="5" applyNumberFormat="1" applyFont="1" applyFill="1" applyBorder="1" applyProtection="1">
      <protection hidden="1"/>
    </xf>
    <xf numFmtId="166" fontId="16" fillId="12" borderId="38" xfId="5" applyNumberFormat="1" applyFont="1" applyFill="1" applyBorder="1" applyProtection="1">
      <protection hidden="1"/>
    </xf>
    <xf numFmtId="166" fontId="16" fillId="12" borderId="38" xfId="4" applyNumberFormat="1" applyFill="1" applyBorder="1" applyProtection="1">
      <protection hidden="1"/>
    </xf>
    <xf numFmtId="166" fontId="16" fillId="12" borderId="37" xfId="4" applyNumberFormat="1" applyFill="1" applyBorder="1" applyProtection="1">
      <protection hidden="1"/>
    </xf>
    <xf numFmtId="166" fontId="16" fillId="12" borderId="38" xfId="5" quotePrefix="1" applyNumberFormat="1" applyFont="1" applyFill="1" applyBorder="1" applyProtection="1">
      <protection hidden="1"/>
    </xf>
    <xf numFmtId="166" fontId="19" fillId="12" borderId="37" xfId="4" applyNumberFormat="1" applyFont="1" applyFill="1" applyBorder="1" applyProtection="1">
      <protection hidden="1"/>
    </xf>
    <xf numFmtId="0" fontId="16" fillId="12" borderId="0" xfId="4" applyFill="1" applyProtection="1">
      <protection hidden="1"/>
    </xf>
    <xf numFmtId="166" fontId="16" fillId="12" borderId="0" xfId="4" applyNumberFormat="1" applyFill="1" applyProtection="1">
      <protection hidden="1"/>
    </xf>
    <xf numFmtId="166" fontId="17" fillId="7" borderId="0" xfId="5" applyNumberFormat="1" applyFont="1" applyFill="1" applyProtection="1">
      <protection hidden="1"/>
    </xf>
    <xf numFmtId="0" fontId="16" fillId="7" borderId="1" xfId="4" applyFill="1" applyBorder="1" applyProtection="1">
      <protection hidden="1"/>
    </xf>
    <xf numFmtId="166" fontId="17" fillId="7" borderId="0" xfId="5" applyNumberFormat="1" applyFont="1" applyFill="1" applyBorder="1" applyProtection="1">
      <protection hidden="1"/>
    </xf>
    <xf numFmtId="166" fontId="16" fillId="7" borderId="0" xfId="5" applyNumberFormat="1" applyFont="1" applyFill="1" applyProtection="1">
      <protection hidden="1"/>
    </xf>
    <xf numFmtId="0" fontId="16" fillId="7" borderId="0" xfId="4" applyFill="1" applyProtection="1">
      <protection hidden="1"/>
    </xf>
    <xf numFmtId="0" fontId="17" fillId="13" borderId="1" xfId="4" applyFont="1" applyFill="1" applyBorder="1" applyProtection="1">
      <protection hidden="1"/>
    </xf>
    <xf numFmtId="0" fontId="16" fillId="13" borderId="37" xfId="4" applyFill="1" applyBorder="1" applyAlignment="1" applyProtection="1">
      <alignment horizontal="center"/>
      <protection hidden="1"/>
    </xf>
    <xf numFmtId="15" fontId="16" fillId="13" borderId="1" xfId="4" applyNumberFormat="1" applyFill="1" applyBorder="1" applyProtection="1">
      <protection hidden="1"/>
    </xf>
    <xf numFmtId="166" fontId="16" fillId="13" borderId="37" xfId="5" applyNumberFormat="1" applyFont="1" applyFill="1" applyBorder="1" applyProtection="1">
      <protection hidden="1"/>
    </xf>
    <xf numFmtId="166" fontId="16" fillId="13" borderId="38" xfId="5" applyNumberFormat="1" applyFont="1" applyFill="1" applyBorder="1" applyProtection="1">
      <protection hidden="1"/>
    </xf>
    <xf numFmtId="166" fontId="16" fillId="13" borderId="38" xfId="4" applyNumberFormat="1" applyFill="1" applyBorder="1" applyProtection="1">
      <protection hidden="1"/>
    </xf>
    <xf numFmtId="166" fontId="16" fillId="13" borderId="37" xfId="4" applyNumberFormat="1" applyFill="1" applyBorder="1" applyProtection="1">
      <protection hidden="1"/>
    </xf>
    <xf numFmtId="166" fontId="16" fillId="13" borderId="38" xfId="5" quotePrefix="1" applyNumberFormat="1" applyFont="1" applyFill="1" applyBorder="1" applyProtection="1">
      <protection hidden="1"/>
    </xf>
    <xf numFmtId="0" fontId="16" fillId="13" borderId="0" xfId="4" applyFill="1" applyProtection="1">
      <protection hidden="1"/>
    </xf>
    <xf numFmtId="166" fontId="16" fillId="13" borderId="0" xfId="4" applyNumberFormat="1" applyFill="1" applyProtection="1">
      <protection hidden="1"/>
    </xf>
    <xf numFmtId="166" fontId="16" fillId="14" borderId="38" xfId="5" applyNumberFormat="1" applyFont="1" applyFill="1" applyBorder="1" applyProtection="1">
      <protection hidden="1"/>
    </xf>
    <xf numFmtId="166" fontId="16" fillId="14" borderId="37" xfId="5" applyNumberFormat="1" applyFont="1" applyFill="1" applyBorder="1" applyProtection="1">
      <protection hidden="1"/>
    </xf>
    <xf numFmtId="166" fontId="19" fillId="14" borderId="37" xfId="4" applyNumberFormat="1" applyFont="1" applyFill="1" applyBorder="1" applyProtection="1">
      <protection hidden="1"/>
    </xf>
    <xf numFmtId="0" fontId="17" fillId="15" borderId="1" xfId="4" applyFont="1" applyFill="1" applyBorder="1" applyProtection="1">
      <protection hidden="1"/>
    </xf>
    <xf numFmtId="0" fontId="16" fillId="15" borderId="37" xfId="4" applyFill="1" applyBorder="1" applyAlignment="1" applyProtection="1">
      <alignment horizontal="center"/>
      <protection hidden="1"/>
    </xf>
    <xf numFmtId="15" fontId="16" fillId="15" borderId="1" xfId="4" applyNumberFormat="1" applyFill="1" applyBorder="1" applyProtection="1">
      <protection hidden="1"/>
    </xf>
    <xf numFmtId="166" fontId="16" fillId="15" borderId="37" xfId="5" applyNumberFormat="1" applyFont="1" applyFill="1" applyBorder="1" applyProtection="1">
      <protection hidden="1"/>
    </xf>
    <xf numFmtId="166" fontId="16" fillId="15" borderId="38" xfId="5" applyNumberFormat="1" applyFont="1" applyFill="1" applyBorder="1" applyProtection="1">
      <protection hidden="1"/>
    </xf>
    <xf numFmtId="166" fontId="16" fillId="15" borderId="38" xfId="4" applyNumberFormat="1" applyFill="1" applyBorder="1" applyProtection="1">
      <protection hidden="1"/>
    </xf>
    <xf numFmtId="166" fontId="16" fillId="15" borderId="37" xfId="4" applyNumberFormat="1" applyFill="1" applyBorder="1" applyProtection="1">
      <protection hidden="1"/>
    </xf>
    <xf numFmtId="166" fontId="16" fillId="15" borderId="38" xfId="5" quotePrefix="1" applyNumberFormat="1" applyFont="1" applyFill="1" applyBorder="1" applyProtection="1">
      <protection hidden="1"/>
    </xf>
    <xf numFmtId="166" fontId="19" fillId="15" borderId="37" xfId="4" applyNumberFormat="1" applyFont="1" applyFill="1" applyBorder="1" applyProtection="1">
      <protection hidden="1"/>
    </xf>
    <xf numFmtId="0" fontId="16" fillId="15" borderId="0" xfId="4" applyFill="1" applyProtection="1">
      <protection hidden="1"/>
    </xf>
    <xf numFmtId="166" fontId="16" fillId="15" borderId="0" xfId="4" applyNumberFormat="1" applyFill="1" applyProtection="1">
      <protection hidden="1"/>
    </xf>
    <xf numFmtId="0" fontId="35" fillId="0" borderId="44" xfId="0" applyFont="1" applyBorder="1" applyAlignment="1">
      <alignment vertical="center" wrapText="1"/>
    </xf>
    <xf numFmtId="0" fontId="36" fillId="0" borderId="44" xfId="0" applyFont="1" applyBorder="1" applyAlignment="1">
      <alignment vertical="center" wrapText="1"/>
    </xf>
    <xf numFmtId="0" fontId="6" fillId="14" borderId="0" xfId="0" applyFont="1" applyFill="1"/>
    <xf numFmtId="0" fontId="6" fillId="16" borderId="0" xfId="0" applyFont="1" applyFill="1"/>
    <xf numFmtId="0" fontId="30" fillId="0" borderId="0" xfId="0" applyFont="1" applyAlignment="1">
      <alignment horizontal="center" vertical="center" wrapText="1"/>
    </xf>
    <xf numFmtId="0" fontId="7" fillId="13" borderId="0" xfId="0" applyFont="1" applyFill="1" applyAlignment="1">
      <alignment vertical="center"/>
    </xf>
    <xf numFmtId="0" fontId="6" fillId="13" borderId="0" xfId="0" applyFont="1" applyFill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30" fillId="0" borderId="44" xfId="0" applyFont="1" applyBorder="1" applyAlignment="1">
      <alignment horizontal="center" vertical="center" wrapText="1"/>
    </xf>
    <xf numFmtId="41" fontId="13" fillId="4" borderId="16" xfId="2" applyFont="1" applyFill="1" applyBorder="1" applyAlignment="1">
      <alignment horizontal="center" vertical="center"/>
    </xf>
    <xf numFmtId="41" fontId="13" fillId="4" borderId="19" xfId="2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 wrapText="1"/>
    </xf>
    <xf numFmtId="168" fontId="13" fillId="4" borderId="16" xfId="0" applyNumberFormat="1" applyFont="1" applyFill="1" applyBorder="1" applyAlignment="1">
      <alignment horizontal="center" vertical="center" wrapText="1"/>
    </xf>
    <xf numFmtId="168" fontId="13" fillId="4" borderId="19" xfId="0" applyNumberFormat="1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4" fillId="4" borderId="37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168" fontId="13" fillId="4" borderId="17" xfId="0" applyNumberFormat="1" applyFont="1" applyFill="1" applyBorder="1" applyAlignment="1">
      <alignment horizontal="center" vertical="center" wrapText="1"/>
    </xf>
    <xf numFmtId="168" fontId="13" fillId="4" borderId="20" xfId="0" applyNumberFormat="1" applyFont="1" applyFill="1" applyBorder="1" applyAlignment="1">
      <alignment horizontal="center" vertical="center" wrapText="1"/>
    </xf>
    <xf numFmtId="168" fontId="13" fillId="4" borderId="28" xfId="0" applyNumberFormat="1" applyFont="1" applyFill="1" applyBorder="1" applyAlignment="1">
      <alignment horizontal="center" vertical="center" wrapText="1"/>
    </xf>
    <xf numFmtId="168" fontId="13" fillId="4" borderId="25" xfId="0" applyNumberFormat="1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166" fontId="17" fillId="5" borderId="34" xfId="5" applyNumberFormat="1" applyFont="1" applyFill="1" applyBorder="1" applyAlignment="1" applyProtection="1">
      <alignment horizontal="center" vertical="center" wrapText="1"/>
      <protection hidden="1"/>
    </xf>
    <xf numFmtId="166" fontId="17" fillId="5" borderId="19" xfId="5" applyNumberFormat="1" applyFont="1" applyFill="1" applyBorder="1" applyAlignment="1" applyProtection="1">
      <alignment horizontal="center" vertical="center" wrapText="1"/>
      <protection hidden="1"/>
    </xf>
    <xf numFmtId="166" fontId="17" fillId="7" borderId="30" xfId="5" applyNumberFormat="1" applyFont="1" applyFill="1" applyBorder="1" applyAlignment="1" applyProtection="1">
      <alignment horizontal="center" wrapText="1"/>
      <protection hidden="1"/>
    </xf>
    <xf numFmtId="166" fontId="17" fillId="7" borderId="35" xfId="5" applyNumberFormat="1" applyFont="1" applyFill="1" applyBorder="1" applyAlignment="1" applyProtection="1">
      <alignment horizontal="center" wrapText="1"/>
      <protection hidden="1"/>
    </xf>
    <xf numFmtId="0" fontId="17" fillId="0" borderId="34" xfId="4" applyFont="1" applyBorder="1" applyAlignment="1" applyProtection="1">
      <alignment horizontal="center" vertical="center" wrapText="1"/>
      <protection hidden="1"/>
    </xf>
    <xf numFmtId="0" fontId="17" fillId="0" borderId="19" xfId="4" applyFont="1" applyBorder="1" applyAlignment="1" applyProtection="1">
      <alignment horizontal="center" vertical="center" wrapText="1"/>
      <protection hidden="1"/>
    </xf>
    <xf numFmtId="166" fontId="17" fillId="5" borderId="25" xfId="5" applyNumberFormat="1" applyFont="1" applyFill="1" applyBorder="1" applyAlignment="1" applyProtection="1">
      <alignment horizontal="center"/>
      <protection hidden="1"/>
    </xf>
    <xf numFmtId="0" fontId="17" fillId="0" borderId="34" xfId="4" applyFont="1" applyBorder="1" applyAlignment="1" applyProtection="1">
      <alignment horizontal="center" vertical="center"/>
      <protection hidden="1"/>
    </xf>
    <xf numFmtId="0" fontId="17" fillId="0" borderId="19" xfId="4" applyFont="1" applyBorder="1" applyAlignment="1" applyProtection="1">
      <alignment horizontal="center" vertical="center"/>
      <protection hidden="1"/>
    </xf>
    <xf numFmtId="166" fontId="17" fillId="0" borderId="30" xfId="5" applyNumberFormat="1" applyFont="1" applyFill="1" applyBorder="1" applyAlignment="1" applyProtection="1">
      <alignment horizontal="center" vertical="center" wrapText="1"/>
      <protection hidden="1"/>
    </xf>
    <xf numFmtId="166" fontId="17" fillId="0" borderId="36" xfId="5" applyNumberFormat="1" applyFont="1" applyFill="1" applyBorder="1" applyAlignment="1" applyProtection="1">
      <alignment horizontal="center" vertical="center" wrapText="1"/>
      <protection hidden="1"/>
    </xf>
    <xf numFmtId="166" fontId="17" fillId="0" borderId="35" xfId="5" applyNumberFormat="1" applyFont="1" applyFill="1" applyBorder="1" applyAlignment="1" applyProtection="1">
      <alignment horizontal="center" vertical="center" wrapText="1"/>
      <protection hidden="1"/>
    </xf>
    <xf numFmtId="166" fontId="17" fillId="0" borderId="34" xfId="5" applyNumberFormat="1" applyFont="1" applyFill="1" applyBorder="1" applyAlignment="1" applyProtection="1">
      <alignment horizontal="center" vertical="center" wrapText="1"/>
      <protection hidden="1"/>
    </xf>
    <xf numFmtId="166" fontId="17" fillId="0" borderId="19" xfId="5" applyNumberFormat="1" applyFont="1" applyFill="1" applyBorder="1" applyAlignment="1" applyProtection="1">
      <alignment horizontal="center" vertical="center" wrapText="1"/>
      <protection hidden="1"/>
    </xf>
    <xf numFmtId="166" fontId="17" fillId="6" borderId="41" xfId="5" applyNumberFormat="1" applyFont="1" applyFill="1" applyBorder="1" applyAlignment="1" applyProtection="1">
      <alignment horizontal="center" vertical="center" wrapText="1"/>
      <protection hidden="1"/>
    </xf>
    <xf numFmtId="166" fontId="17" fillId="6" borderId="42" xfId="5" applyNumberFormat="1" applyFont="1" applyFill="1" applyBorder="1" applyAlignment="1" applyProtection="1">
      <alignment horizontal="center" vertical="center" wrapText="1"/>
      <protection hidden="1"/>
    </xf>
    <xf numFmtId="166" fontId="17" fillId="0" borderId="39" xfId="5" applyNumberFormat="1" applyFont="1" applyFill="1" applyBorder="1" applyAlignment="1" applyProtection="1">
      <alignment horizontal="center" vertical="center" wrapText="1"/>
      <protection hidden="1"/>
    </xf>
    <xf numFmtId="0" fontId="37" fillId="0" borderId="0" xfId="0" applyFont="1"/>
    <xf numFmtId="0" fontId="14" fillId="2" borderId="37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</cellXfs>
  <cellStyles count="12">
    <cellStyle name="Comma" xfId="1" builtinId="3"/>
    <cellStyle name="Comma [0]" xfId="2" builtinId="6"/>
    <cellStyle name="Comma [0] 10 2" xfId="11" xr:uid="{00000000-0005-0000-0000-000002000000}"/>
    <cellStyle name="Comma [0] 10 2 2" xfId="7" xr:uid="{00000000-0005-0000-0000-000003000000}"/>
    <cellStyle name="Comma [0] 2" xfId="9" xr:uid="{00000000-0005-0000-0000-000004000000}"/>
    <cellStyle name="Comma 2" xfId="5" xr:uid="{00000000-0005-0000-0000-000005000000}"/>
    <cellStyle name="Normal" xfId="0" builtinId="0"/>
    <cellStyle name="Normal 2" xfId="4" xr:uid="{00000000-0005-0000-0000-000007000000}"/>
    <cellStyle name="Normal 3 3 4" xfId="3" xr:uid="{00000000-0005-0000-0000-000008000000}"/>
    <cellStyle name="Normal_aug" xfId="6" xr:uid="{00000000-0005-0000-0000-000009000000}"/>
    <cellStyle name="표준 2" xfId="10" xr:uid="{00000000-0005-0000-0000-00000A000000}"/>
    <cellStyle name="표준 2 2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31"/>
  <sheetViews>
    <sheetView showGridLines="0" workbookViewId="0">
      <selection activeCell="B15" sqref="B15"/>
    </sheetView>
  </sheetViews>
  <sheetFormatPr defaultRowHeight="15"/>
  <cols>
    <col min="1" max="1" width="2.5703125" customWidth="1"/>
    <col min="2" max="2" width="22.140625" customWidth="1"/>
    <col min="3" max="3" width="4.28515625" customWidth="1"/>
    <col min="4" max="4" width="13.7109375" customWidth="1"/>
    <col min="5" max="5" width="9.7109375" customWidth="1"/>
    <col min="6" max="6" width="4.42578125" customWidth="1"/>
    <col min="7" max="7" width="22.85546875" customWidth="1"/>
    <col min="8" max="8" width="5" customWidth="1"/>
    <col min="9" max="9" width="8.140625" customWidth="1"/>
    <col min="10" max="10" width="16" customWidth="1"/>
    <col min="11" max="11" width="4.140625" customWidth="1"/>
  </cols>
  <sheetData>
    <row r="2" spans="2:11" ht="15.75" thickBot="1"/>
    <row r="3" spans="2:11" ht="15.6" customHeight="1">
      <c r="B3" s="216"/>
      <c r="C3" s="217"/>
      <c r="D3" s="217"/>
      <c r="E3" s="217"/>
      <c r="F3" s="217"/>
      <c r="G3" s="217"/>
      <c r="H3" s="217"/>
      <c r="I3" s="217"/>
      <c r="J3" s="217"/>
      <c r="K3" s="218"/>
    </row>
    <row r="4" spans="2:11" ht="15.6" customHeight="1">
      <c r="B4" s="109" t="s">
        <v>245</v>
      </c>
      <c r="C4" s="106"/>
      <c r="D4" s="106"/>
      <c r="E4" s="106"/>
      <c r="F4" s="106"/>
      <c r="G4" s="106"/>
      <c r="H4" s="106"/>
      <c r="J4" s="108"/>
      <c r="K4" s="107"/>
    </row>
    <row r="5" spans="2:11" ht="15.6" customHeight="1">
      <c r="B5" s="110" t="s">
        <v>246</v>
      </c>
      <c r="C5" s="106"/>
      <c r="D5" s="106"/>
      <c r="E5" s="106"/>
      <c r="F5" s="106"/>
      <c r="G5" s="106"/>
      <c r="I5" s="118"/>
      <c r="K5" s="107"/>
    </row>
    <row r="6" spans="2:11" ht="15.6" customHeight="1">
      <c r="B6" s="110" t="s">
        <v>247</v>
      </c>
      <c r="C6" s="106"/>
      <c r="D6" s="106"/>
      <c r="E6" s="106"/>
      <c r="F6" s="106"/>
      <c r="G6" s="106"/>
      <c r="H6" s="106"/>
      <c r="I6" s="106"/>
      <c r="J6" s="106"/>
      <c r="K6" s="107"/>
    </row>
    <row r="7" spans="2:11" ht="18">
      <c r="B7" s="110" t="s">
        <v>248</v>
      </c>
      <c r="C7" s="1"/>
      <c r="D7" s="1"/>
      <c r="E7" s="1"/>
      <c r="F7" s="7"/>
      <c r="G7" s="10"/>
      <c r="H7" s="119" t="s">
        <v>249</v>
      </c>
      <c r="I7" s="120"/>
      <c r="J7" s="120"/>
      <c r="K7" s="14"/>
    </row>
    <row r="8" spans="2:11" ht="15.75">
      <c r="B8" s="15"/>
      <c r="C8" s="1"/>
      <c r="D8" s="1"/>
      <c r="E8" s="1"/>
      <c r="F8" s="7"/>
      <c r="G8" s="10"/>
      <c r="H8" s="1"/>
      <c r="I8" s="1"/>
      <c r="J8" s="1"/>
      <c r="K8" s="14"/>
    </row>
    <row r="9" spans="2:11" ht="15.75">
      <c r="B9" s="15" t="s">
        <v>127</v>
      </c>
      <c r="C9" s="8" t="s">
        <v>0</v>
      </c>
      <c r="D9" s="1" t="s">
        <v>2</v>
      </c>
      <c r="E9" s="1"/>
      <c r="F9" s="1"/>
      <c r="G9" s="108"/>
      <c r="H9" s="1" t="s">
        <v>71</v>
      </c>
      <c r="I9" s="1"/>
      <c r="J9" s="11" t="s">
        <v>0</v>
      </c>
      <c r="K9" s="14"/>
    </row>
    <row r="10" spans="2:11" ht="15.75">
      <c r="B10" s="15" t="s">
        <v>126</v>
      </c>
      <c r="C10" s="8" t="s">
        <v>0</v>
      </c>
      <c r="D10" s="11" t="s">
        <v>8</v>
      </c>
      <c r="E10" s="1"/>
      <c r="F10" s="1"/>
      <c r="G10" s="1"/>
      <c r="H10" s="1" t="s">
        <v>9</v>
      </c>
      <c r="I10" s="1"/>
      <c r="J10" s="11" t="s">
        <v>0</v>
      </c>
      <c r="K10" s="14"/>
    </row>
    <row r="11" spans="2:11" ht="15.75">
      <c r="B11" s="16" t="s">
        <v>4</v>
      </c>
      <c r="C11" s="8" t="s">
        <v>0</v>
      </c>
      <c r="D11" s="1" t="s">
        <v>2</v>
      </c>
      <c r="E11" s="1"/>
      <c r="F11" s="1"/>
      <c r="G11" s="1"/>
      <c r="H11" s="1" t="s">
        <v>27</v>
      </c>
      <c r="I11" s="1"/>
      <c r="J11" s="11" t="s">
        <v>0</v>
      </c>
      <c r="K11" s="14"/>
    </row>
    <row r="12" spans="2:11" ht="15.75">
      <c r="B12" s="16" t="s">
        <v>5</v>
      </c>
      <c r="C12" s="8" t="s">
        <v>0</v>
      </c>
      <c r="D12" s="1" t="s">
        <v>2</v>
      </c>
      <c r="E12" s="1"/>
      <c r="F12" s="1"/>
      <c r="G12" s="1"/>
      <c r="H12" s="1" t="s">
        <v>27</v>
      </c>
      <c r="I12" s="1"/>
      <c r="J12" s="11" t="s">
        <v>0</v>
      </c>
      <c r="K12" s="14"/>
    </row>
    <row r="13" spans="2:11" ht="15.75">
      <c r="B13" s="16" t="s">
        <v>6</v>
      </c>
      <c r="C13" s="8" t="s">
        <v>0</v>
      </c>
      <c r="D13" s="1" t="s">
        <v>2</v>
      </c>
      <c r="E13" s="1"/>
      <c r="F13" s="1"/>
      <c r="G13" s="1"/>
      <c r="H13" s="1"/>
      <c r="I13" s="1"/>
      <c r="J13" s="1"/>
      <c r="K13" s="14"/>
    </row>
    <row r="14" spans="2:11" ht="15.75">
      <c r="B14" s="17" t="s">
        <v>7</v>
      </c>
      <c r="C14" s="9" t="s">
        <v>0</v>
      </c>
      <c r="D14" s="2" t="s">
        <v>2</v>
      </c>
      <c r="E14" s="2"/>
      <c r="F14" s="2"/>
      <c r="G14" s="2"/>
      <c r="H14" s="2"/>
      <c r="I14" s="2"/>
      <c r="J14" s="2"/>
      <c r="K14" s="18"/>
    </row>
    <row r="15" spans="2:11" ht="15.75">
      <c r="B15" s="16"/>
      <c r="C15" s="8"/>
      <c r="D15" s="1"/>
      <c r="E15" s="1"/>
      <c r="F15" s="1"/>
      <c r="G15" s="1"/>
      <c r="H15" s="1"/>
      <c r="I15" s="1"/>
      <c r="J15" s="1"/>
      <c r="K15" s="14"/>
    </row>
    <row r="16" spans="2:11" ht="15.75">
      <c r="B16" s="19" t="s">
        <v>31</v>
      </c>
      <c r="C16" s="8"/>
      <c r="D16" s="8"/>
      <c r="E16" s="1"/>
      <c r="F16" s="1"/>
      <c r="G16" s="3" t="s">
        <v>32</v>
      </c>
      <c r="H16" s="1"/>
      <c r="I16" s="8"/>
      <c r="J16" s="1"/>
      <c r="K16" s="14"/>
    </row>
    <row r="17" spans="1:11" ht="15.75">
      <c r="B17" s="16" t="s">
        <v>10</v>
      </c>
      <c r="C17" s="8" t="s">
        <v>0</v>
      </c>
      <c r="D17" s="13" t="s">
        <v>29</v>
      </c>
      <c r="E17" s="4"/>
      <c r="F17" s="1"/>
      <c r="G17" s="1" t="s">
        <v>24</v>
      </c>
      <c r="H17" s="1" t="s">
        <v>0</v>
      </c>
      <c r="J17" s="5" t="s">
        <v>30</v>
      </c>
      <c r="K17" s="14"/>
    </row>
    <row r="18" spans="1:11" ht="15.75">
      <c r="B18" s="16" t="s">
        <v>11</v>
      </c>
      <c r="C18" s="8" t="s">
        <v>0</v>
      </c>
      <c r="D18" s="13" t="s">
        <v>29</v>
      </c>
      <c r="E18" s="4"/>
      <c r="F18" s="1"/>
      <c r="G18" s="1" t="s">
        <v>23</v>
      </c>
      <c r="H18" s="1" t="s">
        <v>0</v>
      </c>
      <c r="J18" s="5" t="s">
        <v>30</v>
      </c>
      <c r="K18" s="14"/>
    </row>
    <row r="19" spans="1:11" ht="15.75">
      <c r="B19" s="16" t="s">
        <v>12</v>
      </c>
      <c r="C19" s="8" t="s">
        <v>0</v>
      </c>
      <c r="D19" s="13" t="s">
        <v>29</v>
      </c>
      <c r="E19" s="4"/>
      <c r="F19" s="1"/>
      <c r="G19" s="1" t="s">
        <v>22</v>
      </c>
      <c r="H19" s="1" t="s">
        <v>0</v>
      </c>
      <c r="J19" s="5" t="s">
        <v>30</v>
      </c>
      <c r="K19" s="14"/>
    </row>
    <row r="20" spans="1:11" ht="15.75">
      <c r="B20" s="16" t="s">
        <v>13</v>
      </c>
      <c r="C20" s="8" t="s">
        <v>0</v>
      </c>
      <c r="D20" s="13" t="s">
        <v>29</v>
      </c>
      <c r="E20" s="4"/>
      <c r="F20" s="1"/>
      <c r="G20" s="1" t="s">
        <v>21</v>
      </c>
      <c r="H20" s="1" t="s">
        <v>0</v>
      </c>
      <c r="J20" s="5" t="s">
        <v>30</v>
      </c>
      <c r="K20" s="14"/>
    </row>
    <row r="21" spans="1:11" ht="15.75">
      <c r="B21" s="16" t="s">
        <v>14</v>
      </c>
      <c r="C21" s="8" t="s">
        <v>0</v>
      </c>
      <c r="D21" s="13" t="s">
        <v>29</v>
      </c>
      <c r="E21" s="4"/>
      <c r="F21" s="1"/>
      <c r="G21" s="1" t="s">
        <v>20</v>
      </c>
      <c r="H21" s="1" t="s">
        <v>0</v>
      </c>
      <c r="J21" s="5" t="s">
        <v>30</v>
      </c>
      <c r="K21" s="14"/>
    </row>
    <row r="22" spans="1:11" ht="15.75">
      <c r="B22" s="16" t="s">
        <v>15</v>
      </c>
      <c r="C22" s="8" t="s">
        <v>0</v>
      </c>
      <c r="D22" s="13" t="s">
        <v>29</v>
      </c>
      <c r="E22" s="4"/>
      <c r="F22" s="1"/>
      <c r="G22" s="1" t="s">
        <v>19</v>
      </c>
      <c r="H22" s="1" t="s">
        <v>0</v>
      </c>
      <c r="J22" s="5" t="s">
        <v>30</v>
      </c>
      <c r="K22" s="14"/>
    </row>
    <row r="23" spans="1:11" ht="15.75">
      <c r="B23" s="16" t="s">
        <v>17</v>
      </c>
      <c r="C23" s="8" t="s">
        <v>0</v>
      </c>
      <c r="D23" s="13" t="s">
        <v>29</v>
      </c>
      <c r="E23" s="4"/>
      <c r="F23" s="1"/>
      <c r="G23" s="1" t="s">
        <v>18</v>
      </c>
      <c r="H23" s="1" t="s">
        <v>0</v>
      </c>
      <c r="J23" s="5" t="s">
        <v>30</v>
      </c>
      <c r="K23" s="14"/>
    </row>
    <row r="24" spans="1:11" ht="15.75">
      <c r="B24" s="16" t="s">
        <v>16</v>
      </c>
      <c r="C24" s="8" t="s">
        <v>0</v>
      </c>
      <c r="D24" s="13" t="s">
        <v>29</v>
      </c>
      <c r="E24" s="4"/>
      <c r="F24" s="1"/>
      <c r="G24" s="1"/>
      <c r="H24" s="1"/>
      <c r="I24" s="4"/>
      <c r="J24" s="5"/>
      <c r="K24" s="14"/>
    </row>
    <row r="25" spans="1:11" ht="15.75">
      <c r="B25" s="16" t="s">
        <v>1</v>
      </c>
      <c r="C25" s="8" t="s">
        <v>0</v>
      </c>
      <c r="D25" s="13" t="s">
        <v>29</v>
      </c>
      <c r="E25" s="4"/>
      <c r="F25" s="1"/>
      <c r="G25" s="1"/>
      <c r="H25" s="1"/>
      <c r="I25" s="4"/>
      <c r="J25" s="5"/>
      <c r="K25" s="14"/>
    </row>
    <row r="26" spans="1:11" ht="15.75">
      <c r="B26" s="16" t="s">
        <v>18</v>
      </c>
      <c r="C26" s="8" t="s">
        <v>0</v>
      </c>
      <c r="D26" s="13" t="s">
        <v>29</v>
      </c>
      <c r="E26" s="4"/>
      <c r="F26" s="1"/>
      <c r="G26" s="1"/>
      <c r="H26" s="1"/>
      <c r="I26" s="4"/>
      <c r="J26" s="5"/>
      <c r="K26" s="14"/>
    </row>
    <row r="27" spans="1:11" ht="15.75">
      <c r="B27" s="16"/>
      <c r="C27" s="8"/>
      <c r="D27" s="4"/>
      <c r="E27" s="4"/>
      <c r="F27" s="1"/>
      <c r="G27" s="1"/>
      <c r="H27" s="1"/>
      <c r="I27" s="4"/>
      <c r="J27" s="5"/>
      <c r="K27" s="14"/>
    </row>
    <row r="28" spans="1:11" ht="15.75">
      <c r="B28" s="16" t="s">
        <v>26</v>
      </c>
      <c r="C28" s="8" t="s">
        <v>0</v>
      </c>
      <c r="D28" s="12">
        <f>SUM(D17:D27)</f>
        <v>0</v>
      </c>
      <c r="F28" s="1"/>
      <c r="G28" s="1" t="s">
        <v>25</v>
      </c>
      <c r="H28" s="1" t="s">
        <v>0</v>
      </c>
      <c r="I28" s="6"/>
      <c r="J28" s="12">
        <f>SUM(J17:J22)</f>
        <v>0</v>
      </c>
      <c r="K28" s="14"/>
    </row>
    <row r="29" spans="1:11" ht="15.75">
      <c r="A29" s="1"/>
      <c r="B29" s="16"/>
      <c r="C29" s="1"/>
      <c r="D29" s="1"/>
      <c r="E29" s="1"/>
      <c r="F29" s="1"/>
      <c r="G29" s="1"/>
      <c r="H29" s="1"/>
      <c r="I29" s="1"/>
      <c r="J29" s="1"/>
      <c r="K29" s="14"/>
    </row>
    <row r="30" spans="1:11" ht="15.75">
      <c r="A30" s="1"/>
      <c r="B30" s="16" t="s">
        <v>28</v>
      </c>
      <c r="C30" s="8" t="s">
        <v>0</v>
      </c>
      <c r="D30" s="12">
        <f>+D28-J28</f>
        <v>0</v>
      </c>
      <c r="E30" s="1"/>
      <c r="F30" s="1"/>
      <c r="G30" s="1"/>
      <c r="H30" s="1"/>
      <c r="I30" s="1"/>
      <c r="J30" s="1"/>
      <c r="K30" s="14"/>
    </row>
    <row r="31" spans="1:11" ht="16.5" thickBot="1">
      <c r="B31" s="20"/>
      <c r="C31" s="21"/>
      <c r="D31" s="21"/>
      <c r="E31" s="21"/>
      <c r="F31" s="21"/>
      <c r="G31" s="21"/>
      <c r="H31" s="21"/>
      <c r="I31" s="21"/>
      <c r="J31" s="21"/>
      <c r="K31" s="22"/>
    </row>
  </sheetData>
  <mergeCells count="1">
    <mergeCell ref="B3:K3"/>
  </mergeCells>
  <pageMargins left="0.7" right="0.7" top="0.75" bottom="0.75" header="0.3" footer="0.3"/>
  <pageSetup scale="8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J25"/>
  <sheetViews>
    <sheetView tabSelected="1" topLeftCell="J1" zoomScale="70" zoomScaleNormal="70" workbookViewId="0">
      <selection activeCell="V11" sqref="V11"/>
    </sheetView>
  </sheetViews>
  <sheetFormatPr defaultColWidth="9.140625" defaultRowHeight="15"/>
  <cols>
    <col min="1" max="1" width="2.7109375" style="23" customWidth="1"/>
    <col min="2" max="2" width="5.7109375" style="23" customWidth="1"/>
    <col min="3" max="3" width="28" style="23" bestFit="1" customWidth="1"/>
    <col min="4" max="4" width="12" style="23" customWidth="1"/>
    <col min="5" max="6" width="25.7109375" style="24" customWidth="1"/>
    <col min="7" max="7" width="26.28515625" style="23" bestFit="1" customWidth="1"/>
    <col min="8" max="8" width="14.28515625" style="23" bestFit="1" customWidth="1"/>
    <col min="9" max="10" width="13.7109375" style="23" customWidth="1"/>
    <col min="11" max="24" width="17.7109375" style="23" customWidth="1"/>
    <col min="25" max="25" width="22.85546875" style="23" customWidth="1"/>
    <col min="26" max="26" width="0.85546875" style="23" customWidth="1"/>
    <col min="27" max="27" width="20.5703125" style="23" bestFit="1" customWidth="1"/>
    <col min="28" max="28" width="18.140625" style="23" customWidth="1"/>
    <col min="29" max="29" width="16.5703125" style="23" customWidth="1"/>
    <col min="30" max="30" width="16.140625" style="23" customWidth="1"/>
    <col min="31" max="31" width="16" style="23" customWidth="1"/>
    <col min="32" max="32" width="18.42578125" style="23" customWidth="1"/>
    <col min="33" max="33" width="13" style="23" customWidth="1"/>
    <col min="34" max="34" width="22.28515625" style="23" customWidth="1"/>
    <col min="35" max="35" width="23.42578125" style="23" customWidth="1"/>
    <col min="36" max="36" width="19.42578125" style="23" customWidth="1"/>
    <col min="37" max="16384" width="9.140625" style="23"/>
  </cols>
  <sheetData>
    <row r="1" spans="2:36" ht="12.95" customHeight="1">
      <c r="B1" s="23" t="s">
        <v>48</v>
      </c>
    </row>
    <row r="2" spans="2:36" ht="12.95" customHeight="1">
      <c r="B2" s="25" t="s">
        <v>33</v>
      </c>
      <c r="C2" s="25"/>
      <c r="D2" s="25"/>
      <c r="K2" s="26"/>
    </row>
    <row r="3" spans="2:36" ht="12.95" customHeight="1">
      <c r="B3" s="25" t="s">
        <v>42</v>
      </c>
      <c r="C3" s="25"/>
      <c r="D3" s="25"/>
      <c r="K3" s="26"/>
      <c r="R3" s="23">
        <v>3210</v>
      </c>
    </row>
    <row r="4" spans="2:36" ht="12.95" customHeight="1">
      <c r="B4" s="25" t="s">
        <v>256</v>
      </c>
      <c r="C4" s="25"/>
      <c r="D4" s="25"/>
      <c r="K4" s="26"/>
      <c r="R4" s="23">
        <v>3211</v>
      </c>
    </row>
    <row r="5" spans="2:36" ht="12.95" customHeight="1">
      <c r="B5" s="25"/>
      <c r="C5" s="25"/>
      <c r="D5" s="25"/>
      <c r="K5" s="214">
        <v>1001</v>
      </c>
      <c r="L5" s="215"/>
      <c r="M5" s="215"/>
      <c r="N5" s="215"/>
      <c r="O5" s="215"/>
      <c r="P5" s="215"/>
      <c r="Q5" s="215"/>
      <c r="R5" s="215">
        <v>3212</v>
      </c>
      <c r="S5" s="215"/>
      <c r="AH5" s="215" t="s">
        <v>293</v>
      </c>
    </row>
    <row r="6" spans="2:36" ht="12.95" customHeight="1">
      <c r="B6" s="25"/>
      <c r="C6" s="25"/>
      <c r="D6" s="25"/>
      <c r="K6" s="26">
        <v>1000</v>
      </c>
      <c r="L6" s="269">
        <v>2099</v>
      </c>
      <c r="M6" s="23">
        <v>2111</v>
      </c>
      <c r="N6" s="23">
        <v>2121</v>
      </c>
      <c r="O6" s="23">
        <v>2131</v>
      </c>
      <c r="P6" s="23">
        <v>2151</v>
      </c>
      <c r="Q6" s="23">
        <v>2161</v>
      </c>
      <c r="R6" s="23">
        <v>3213</v>
      </c>
      <c r="S6" s="211"/>
      <c r="T6" s="23">
        <v>2300</v>
      </c>
      <c r="U6" s="23">
        <v>3099</v>
      </c>
      <c r="V6" s="23">
        <v>1788</v>
      </c>
      <c r="W6" s="23" t="s">
        <v>278</v>
      </c>
      <c r="X6" s="211"/>
      <c r="Y6" s="23" t="s">
        <v>275</v>
      </c>
      <c r="AA6" s="212" t="s">
        <v>279</v>
      </c>
      <c r="AB6" s="23" t="s">
        <v>282</v>
      </c>
      <c r="AC6" s="23" t="s">
        <v>284</v>
      </c>
      <c r="AD6" s="23" t="s">
        <v>283</v>
      </c>
      <c r="AE6" s="23" t="s">
        <v>281</v>
      </c>
      <c r="AF6" s="23" t="s">
        <v>276</v>
      </c>
      <c r="AG6" s="23" t="s">
        <v>277</v>
      </c>
    </row>
    <row r="7" spans="2:36" ht="29.1" customHeight="1" thickBot="1">
      <c r="B7" s="25"/>
      <c r="C7" s="25" t="s">
        <v>271</v>
      </c>
      <c r="D7" s="25" t="s">
        <v>270</v>
      </c>
      <c r="F7" s="24" t="s">
        <v>294</v>
      </c>
      <c r="G7" s="23" t="s">
        <v>272</v>
      </c>
      <c r="H7" s="210" t="s">
        <v>280</v>
      </c>
      <c r="I7" s="209" t="s">
        <v>273</v>
      </c>
      <c r="J7" s="210" t="s">
        <v>274</v>
      </c>
      <c r="K7" s="223" t="s">
        <v>251</v>
      </c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122"/>
      <c r="Z7" s="122"/>
      <c r="AA7" s="223" t="s">
        <v>252</v>
      </c>
      <c r="AB7" s="223"/>
      <c r="AC7" s="223"/>
      <c r="AD7" s="223"/>
      <c r="AE7" s="223"/>
      <c r="AF7" s="223"/>
      <c r="AG7" s="223"/>
      <c r="AH7" s="213"/>
    </row>
    <row r="8" spans="2:36" ht="18" customHeight="1" thickTop="1">
      <c r="B8" s="241" t="s">
        <v>34</v>
      </c>
      <c r="C8" s="221" t="s">
        <v>3</v>
      </c>
      <c r="D8" s="221" t="s">
        <v>47</v>
      </c>
      <c r="E8" s="224" t="s">
        <v>35</v>
      </c>
      <c r="F8" s="224" t="s">
        <v>55</v>
      </c>
      <c r="G8" s="227" t="s">
        <v>36</v>
      </c>
      <c r="H8" s="227" t="s">
        <v>49</v>
      </c>
      <c r="I8" s="227" t="s">
        <v>50</v>
      </c>
      <c r="J8" s="227" t="s">
        <v>51</v>
      </c>
      <c r="K8" s="227" t="s">
        <v>37</v>
      </c>
      <c r="L8" s="227" t="s">
        <v>286</v>
      </c>
      <c r="M8" s="227" t="s">
        <v>287</v>
      </c>
      <c r="N8" s="227" t="s">
        <v>288</v>
      </c>
      <c r="O8" s="227" t="s">
        <v>289</v>
      </c>
      <c r="P8" s="227" t="s">
        <v>290</v>
      </c>
      <c r="Q8" s="227" t="s">
        <v>291</v>
      </c>
      <c r="R8" s="227" t="s">
        <v>292</v>
      </c>
      <c r="S8" s="227" t="s">
        <v>38</v>
      </c>
      <c r="T8" s="227" t="s">
        <v>43</v>
      </c>
      <c r="U8" s="227" t="s">
        <v>44</v>
      </c>
      <c r="V8" s="227" t="s">
        <v>45</v>
      </c>
      <c r="W8" s="227" t="s">
        <v>46</v>
      </c>
      <c r="X8" s="227" t="s">
        <v>38</v>
      </c>
      <c r="Y8" s="237" t="s">
        <v>39</v>
      </c>
      <c r="Z8" s="45"/>
      <c r="AA8" s="239" t="s">
        <v>52</v>
      </c>
      <c r="AB8" s="229" t="s">
        <v>253</v>
      </c>
      <c r="AC8" s="229" t="s">
        <v>254</v>
      </c>
      <c r="AD8" s="229" t="s">
        <v>255</v>
      </c>
      <c r="AE8" s="230" t="s">
        <v>53</v>
      </c>
      <c r="AF8" s="229" t="s">
        <v>38</v>
      </c>
      <c r="AG8" s="219" t="s">
        <v>54</v>
      </c>
      <c r="AH8" s="270" t="s">
        <v>285</v>
      </c>
      <c r="AI8" s="232" t="s">
        <v>250</v>
      </c>
      <c r="AJ8" s="226" t="s">
        <v>56</v>
      </c>
    </row>
    <row r="9" spans="2:36" ht="59.1" customHeight="1">
      <c r="B9" s="242"/>
      <c r="C9" s="222"/>
      <c r="D9" s="222"/>
      <c r="E9" s="225"/>
      <c r="F9" s="225"/>
      <c r="G9" s="228"/>
      <c r="H9" s="228"/>
      <c r="I9" s="228"/>
      <c r="J9" s="228"/>
      <c r="K9" s="228"/>
      <c r="L9" s="228" t="s">
        <v>40</v>
      </c>
      <c r="M9" s="228" t="s">
        <v>40</v>
      </c>
      <c r="N9" s="228" t="s">
        <v>40</v>
      </c>
      <c r="O9" s="228"/>
      <c r="P9" s="228"/>
      <c r="Q9" s="228"/>
      <c r="R9" s="228"/>
      <c r="S9" s="228" t="s">
        <v>40</v>
      </c>
      <c r="T9" s="228"/>
      <c r="U9" s="228"/>
      <c r="V9" s="228"/>
      <c r="W9" s="228"/>
      <c r="X9" s="228"/>
      <c r="Y9" s="238"/>
      <c r="Z9" s="46"/>
      <c r="AA9" s="240"/>
      <c r="AB9" s="226"/>
      <c r="AC9" s="226"/>
      <c r="AD9" s="226"/>
      <c r="AE9" s="231"/>
      <c r="AF9" s="226"/>
      <c r="AG9" s="220"/>
      <c r="AH9" s="271"/>
      <c r="AI9" s="233"/>
      <c r="AJ9" s="226"/>
    </row>
    <row r="10" spans="2:36" s="30" customFormat="1" ht="12.95" customHeight="1">
      <c r="B10" s="29">
        <v>1</v>
      </c>
      <c r="C10" s="40"/>
      <c r="D10" s="40"/>
      <c r="E10" s="40"/>
      <c r="F10" s="40"/>
      <c r="G10" s="40"/>
      <c r="H10" s="40"/>
      <c r="I10" s="40"/>
      <c r="J10" s="40"/>
      <c r="K10" s="121">
        <v>5000000</v>
      </c>
      <c r="L10" s="121">
        <v>100000</v>
      </c>
      <c r="M10" s="121">
        <v>30000</v>
      </c>
      <c r="N10" s="121">
        <v>300000</v>
      </c>
      <c r="O10" s="121"/>
      <c r="P10" s="121"/>
      <c r="Q10" s="121"/>
      <c r="R10" s="121"/>
      <c r="S10" s="121">
        <v>300000</v>
      </c>
      <c r="T10" s="121">
        <v>5000000</v>
      </c>
      <c r="U10" s="121">
        <v>1000000</v>
      </c>
      <c r="V10" s="121">
        <v>1000000</v>
      </c>
      <c r="W10" s="121">
        <v>345600</v>
      </c>
      <c r="X10" s="121">
        <v>40000</v>
      </c>
      <c r="Y10" s="121">
        <f>SUM(K10:X10)</f>
        <v>13115600</v>
      </c>
      <c r="Z10" s="40"/>
      <c r="AA10" s="121">
        <v>400000</v>
      </c>
      <c r="AB10" s="121">
        <v>500000</v>
      </c>
      <c r="AC10" s="121">
        <v>600000</v>
      </c>
      <c r="AD10" s="121">
        <v>70000</v>
      </c>
      <c r="AE10" s="121">
        <v>600000</v>
      </c>
      <c r="AF10" s="121">
        <v>400000</v>
      </c>
      <c r="AG10" s="121">
        <v>300000</v>
      </c>
      <c r="AH10" s="121">
        <v>0</v>
      </c>
      <c r="AI10" s="121">
        <f>SUM(AA10:AH10)</f>
        <v>2870000</v>
      </c>
      <c r="AJ10" s="123">
        <f>+Y10-AI10</f>
        <v>10245600</v>
      </c>
    </row>
    <row r="11" spans="2:36" s="30" customFormat="1" ht="12.95" customHeight="1">
      <c r="B11" s="29">
        <f t="shared" ref="B11:B13" si="0">B10+1</f>
        <v>2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124"/>
    </row>
    <row r="12" spans="2:36" s="30" customFormat="1" ht="12.95" customHeight="1">
      <c r="B12" s="29">
        <f t="shared" si="0"/>
        <v>3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124"/>
    </row>
    <row r="13" spans="2:36" s="30" customFormat="1" ht="12.95" customHeight="1">
      <c r="B13" s="29">
        <f t="shared" si="0"/>
        <v>4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124"/>
    </row>
    <row r="14" spans="2:36" s="26" customFormat="1" ht="36" customHeight="1" thickBot="1">
      <c r="B14" s="234" t="s">
        <v>41</v>
      </c>
      <c r="C14" s="235"/>
      <c r="D14" s="235"/>
      <c r="E14" s="236"/>
      <c r="F14" s="42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31"/>
      <c r="AA14" s="44"/>
      <c r="AB14" s="44"/>
      <c r="AC14" s="44"/>
      <c r="AD14" s="44"/>
      <c r="AE14" s="44"/>
      <c r="AF14" s="44"/>
      <c r="AG14" s="47"/>
      <c r="AH14" s="47"/>
      <c r="AI14" s="47"/>
      <c r="AJ14" s="44"/>
    </row>
    <row r="15" spans="2:36" s="26" customFormat="1" ht="12.95" customHeight="1" thickTop="1">
      <c r="B15" s="32"/>
      <c r="C15" s="32"/>
      <c r="D15" s="32"/>
      <c r="E15" s="33"/>
      <c r="F15" s="33"/>
      <c r="G15" s="32"/>
      <c r="H15" s="32"/>
      <c r="I15" s="32"/>
      <c r="J15" s="32"/>
      <c r="K15" s="34"/>
      <c r="L15" s="34"/>
      <c r="M15" s="34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9" spans="11:24">
      <c r="K19" s="36"/>
      <c r="L19" s="37"/>
      <c r="M19" s="36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</row>
    <row r="20" spans="11:24">
      <c r="K20" s="37"/>
      <c r="L20" s="37"/>
      <c r="M20" s="36"/>
      <c r="N20" s="37"/>
      <c r="O20" s="37"/>
      <c r="P20" s="37"/>
      <c r="Q20" s="37"/>
      <c r="R20" s="37"/>
      <c r="S20" s="36"/>
      <c r="T20" s="37"/>
      <c r="U20" s="37"/>
      <c r="V20" s="37"/>
      <c r="W20" s="37"/>
      <c r="X20" s="37"/>
    </row>
    <row r="21" spans="11:24">
      <c r="K21" s="37"/>
      <c r="L21" s="37"/>
      <c r="M21" s="36"/>
      <c r="N21" s="37"/>
      <c r="O21" s="37"/>
      <c r="P21" s="37"/>
      <c r="Q21" s="37"/>
      <c r="R21" s="37"/>
      <c r="S21" s="36"/>
      <c r="T21" s="37"/>
      <c r="U21" s="37"/>
      <c r="V21" s="37"/>
      <c r="W21" s="37"/>
      <c r="X21" s="37"/>
    </row>
    <row r="22" spans="11:24">
      <c r="K22" s="37"/>
      <c r="L22" s="37"/>
      <c r="M22" s="36"/>
      <c r="N22" s="37"/>
      <c r="O22" s="37"/>
      <c r="P22" s="37"/>
      <c r="Q22" s="37"/>
      <c r="R22" s="37"/>
      <c r="S22" s="36"/>
      <c r="T22" s="37"/>
      <c r="U22" s="37"/>
      <c r="V22" s="37"/>
      <c r="W22" s="37"/>
      <c r="X22" s="37"/>
    </row>
    <row r="23" spans="11:24">
      <c r="K23" s="37"/>
      <c r="L23" s="37"/>
      <c r="M23" s="36"/>
      <c r="N23" s="37"/>
      <c r="O23" s="37"/>
      <c r="P23" s="37"/>
      <c r="Q23" s="37"/>
      <c r="R23" s="37"/>
      <c r="S23" s="36"/>
      <c r="T23" s="37"/>
      <c r="U23" s="37"/>
      <c r="V23" s="37"/>
      <c r="W23" s="37"/>
      <c r="X23" s="37"/>
    </row>
    <row r="24" spans="11:24">
      <c r="K24" s="37"/>
      <c r="L24" s="37"/>
      <c r="M24" s="37"/>
      <c r="N24" s="37"/>
      <c r="O24" s="37"/>
      <c r="P24" s="37"/>
      <c r="Q24" s="37"/>
      <c r="R24" s="37"/>
      <c r="S24" s="38"/>
      <c r="T24" s="38"/>
      <c r="U24" s="38"/>
      <c r="V24" s="38"/>
      <c r="W24" s="38"/>
      <c r="X24" s="38"/>
    </row>
    <row r="25" spans="11:24"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</row>
  </sheetData>
  <mergeCells count="37">
    <mergeCell ref="AH8:AH9"/>
    <mergeCell ref="B14:E14"/>
    <mergeCell ref="X8:X9"/>
    <mergeCell ref="Y8:Y9"/>
    <mergeCell ref="AA8:AA9"/>
    <mergeCell ref="AB8:AB9"/>
    <mergeCell ref="S8:S9"/>
    <mergeCell ref="T8:T9"/>
    <mergeCell ref="U8:U9"/>
    <mergeCell ref="V8:V9"/>
    <mergeCell ref="W8:W9"/>
    <mergeCell ref="B8:B9"/>
    <mergeCell ref="O8:O9"/>
    <mergeCell ref="AJ8:AJ9"/>
    <mergeCell ref="F8:F9"/>
    <mergeCell ref="N8:N9"/>
    <mergeCell ref="G8:G9"/>
    <mergeCell ref="H8:H9"/>
    <mergeCell ref="I8:I9"/>
    <mergeCell ref="K8:K9"/>
    <mergeCell ref="L8:L9"/>
    <mergeCell ref="M8:M9"/>
    <mergeCell ref="AD8:AD9"/>
    <mergeCell ref="AE8:AE9"/>
    <mergeCell ref="J8:J9"/>
    <mergeCell ref="AC8:AC9"/>
    <mergeCell ref="AI8:AI9"/>
    <mergeCell ref="AF8:AF9"/>
    <mergeCell ref="AG8:AG9"/>
    <mergeCell ref="C8:C9"/>
    <mergeCell ref="D8:D9"/>
    <mergeCell ref="K7:X7"/>
    <mergeCell ref="AA7:AG7"/>
    <mergeCell ref="E8:E9"/>
    <mergeCell ref="P8:P9"/>
    <mergeCell ref="Q8:Q9"/>
    <mergeCell ref="R8:R9"/>
  </mergeCells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"/>
  <sheetViews>
    <sheetView workbookViewId="0">
      <pane xSplit="4" ySplit="6" topLeftCell="E7" activePane="bottomRight" state="frozen"/>
      <selection pane="topRight" activeCell="E1" sqref="E1"/>
      <selection pane="bottomLeft" activeCell="A6" sqref="A6"/>
      <selection pane="bottomRight" activeCell="I9" sqref="I9"/>
    </sheetView>
  </sheetViews>
  <sheetFormatPr defaultRowHeight="15"/>
  <cols>
    <col min="4" max="4" width="14.28515625" customWidth="1"/>
    <col min="5" max="5" width="17.85546875" customWidth="1"/>
    <col min="6" max="6" width="14.5703125" customWidth="1"/>
    <col min="7" max="7" width="16.85546875" customWidth="1"/>
    <col min="8" max="8" width="22" customWidth="1"/>
    <col min="9" max="9" width="16.85546875" customWidth="1"/>
    <col min="10" max="10" width="17" customWidth="1"/>
    <col min="11" max="11" width="16.7109375" customWidth="1"/>
    <col min="12" max="12" width="15.7109375" customWidth="1"/>
  </cols>
  <sheetData>
    <row r="1" spans="1:12" ht="14.45" customHeight="1">
      <c r="A1" s="23" t="s">
        <v>60</v>
      </c>
      <c r="B1" s="23"/>
      <c r="C1" s="23"/>
      <c r="D1" s="24"/>
      <c r="E1" s="23"/>
      <c r="F1" s="23"/>
      <c r="G1" s="23"/>
      <c r="I1" s="243" t="s">
        <v>120</v>
      </c>
    </row>
    <row r="2" spans="1:12">
      <c r="A2" s="25" t="s">
        <v>33</v>
      </c>
      <c r="B2" s="25"/>
      <c r="C2" s="25"/>
      <c r="D2" s="24"/>
      <c r="E2" s="23"/>
      <c r="F2" s="23"/>
      <c r="G2" s="23"/>
      <c r="I2" s="243"/>
    </row>
    <row r="3" spans="1:12">
      <c r="A3" s="25" t="s">
        <v>256</v>
      </c>
      <c r="B3" s="25"/>
      <c r="C3" s="25"/>
      <c r="D3" s="24"/>
      <c r="E3" s="23"/>
      <c r="F3" s="23"/>
      <c r="G3" s="23"/>
      <c r="I3" s="243"/>
    </row>
    <row r="4" spans="1:12">
      <c r="A4" s="27">
        <f>1</f>
        <v>1</v>
      </c>
      <c r="B4" s="27"/>
      <c r="C4" s="27"/>
      <c r="D4" s="28">
        <f>+A4+1</f>
        <v>2</v>
      </c>
      <c r="E4" s="28"/>
      <c r="F4" s="28"/>
      <c r="G4" s="28"/>
      <c r="I4" s="243"/>
    </row>
    <row r="5" spans="1:12" ht="18.95" customHeight="1">
      <c r="A5" s="27"/>
      <c r="B5" s="27"/>
      <c r="C5" s="27"/>
      <c r="D5" s="28"/>
      <c r="E5" s="28"/>
      <c r="F5" s="28"/>
      <c r="G5" s="28"/>
      <c r="I5" s="244"/>
      <c r="J5" s="54" t="s">
        <v>68</v>
      </c>
      <c r="K5" s="54" t="s">
        <v>69</v>
      </c>
    </row>
    <row r="6" spans="1:12" ht="29.45" customHeight="1">
      <c r="A6" s="50" t="s">
        <v>34</v>
      </c>
      <c r="B6" s="50" t="s">
        <v>3</v>
      </c>
      <c r="C6" s="50" t="s">
        <v>47</v>
      </c>
      <c r="D6" s="51" t="s">
        <v>35</v>
      </c>
      <c r="E6" s="52" t="s">
        <v>36</v>
      </c>
      <c r="F6" s="52" t="s">
        <v>49</v>
      </c>
      <c r="G6" s="52" t="s">
        <v>50</v>
      </c>
      <c r="H6" s="53" t="s">
        <v>57</v>
      </c>
      <c r="I6" s="53" t="s">
        <v>58</v>
      </c>
      <c r="J6" s="57">
        <v>0.04</v>
      </c>
      <c r="K6" s="57">
        <v>0.01</v>
      </c>
      <c r="L6" s="54" t="s">
        <v>41</v>
      </c>
    </row>
    <row r="7" spans="1:12">
      <c r="A7" s="48">
        <v>1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2">
      <c r="A8" s="29">
        <f t="shared" ref="A8:A10" si="0">A7+1</f>
        <v>2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2">
      <c r="A9" s="29">
        <f t="shared" si="0"/>
        <v>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</row>
    <row r="10" spans="1:12">
      <c r="A10" s="29">
        <f t="shared" si="0"/>
        <v>4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</row>
  </sheetData>
  <mergeCells count="1">
    <mergeCell ref="I1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1"/>
  <sheetViews>
    <sheetView workbookViewId="0">
      <selection activeCell="A3" sqref="A3"/>
    </sheetView>
  </sheetViews>
  <sheetFormatPr defaultRowHeight="15"/>
  <cols>
    <col min="4" max="4" width="14.28515625" customWidth="1"/>
    <col min="5" max="5" width="17.85546875" customWidth="1"/>
    <col min="6" max="6" width="14.5703125" customWidth="1"/>
    <col min="7" max="7" width="16.85546875" customWidth="1"/>
    <col min="8" max="8" width="22" customWidth="1"/>
    <col min="9" max="9" width="20.5703125" customWidth="1"/>
    <col min="10" max="16" width="13.140625" customWidth="1"/>
    <col min="17" max="17" width="15.7109375" customWidth="1"/>
  </cols>
  <sheetData>
    <row r="1" spans="1:17">
      <c r="A1" s="23" t="s">
        <v>61</v>
      </c>
      <c r="B1" s="23"/>
      <c r="C1" s="23"/>
      <c r="D1" s="24"/>
      <c r="E1" s="23"/>
      <c r="F1" s="23"/>
      <c r="G1" s="23"/>
      <c r="I1" s="245" t="s">
        <v>59</v>
      </c>
    </row>
    <row r="2" spans="1:17">
      <c r="A2" s="25" t="s">
        <v>33</v>
      </c>
      <c r="B2" s="25"/>
      <c r="C2" s="25"/>
      <c r="D2" s="24"/>
      <c r="E2" s="23"/>
      <c r="F2" s="23"/>
      <c r="G2" s="23"/>
      <c r="I2" s="245"/>
    </row>
    <row r="3" spans="1:17">
      <c r="A3" s="25" t="s">
        <v>256</v>
      </c>
      <c r="B3" s="25"/>
      <c r="C3" s="25"/>
      <c r="D3" s="24"/>
      <c r="E3" s="23"/>
      <c r="F3" s="23"/>
      <c r="G3" s="23"/>
      <c r="I3" s="245"/>
    </row>
    <row r="4" spans="1:17">
      <c r="A4" s="27">
        <f>1</f>
        <v>1</v>
      </c>
      <c r="B4" s="27"/>
      <c r="C4" s="27"/>
      <c r="D4" s="28">
        <f>+A4+1</f>
        <v>2</v>
      </c>
      <c r="E4" s="28"/>
      <c r="F4" s="28"/>
      <c r="G4" s="28"/>
      <c r="I4" s="246"/>
    </row>
    <row r="5" spans="1:17" ht="21.95" customHeight="1">
      <c r="A5" s="27"/>
      <c r="B5" s="27"/>
      <c r="C5" s="27"/>
      <c r="D5" s="28"/>
      <c r="E5" s="28"/>
      <c r="F5" s="28"/>
      <c r="G5" s="28"/>
      <c r="I5" s="55"/>
      <c r="J5" s="247" t="s">
        <v>68</v>
      </c>
      <c r="K5" s="248"/>
      <c r="L5" s="248"/>
      <c r="M5" s="249"/>
      <c r="O5" s="250" t="s">
        <v>69</v>
      </c>
      <c r="P5" s="251"/>
    </row>
    <row r="6" spans="1:17" ht="24.95" customHeight="1">
      <c r="A6" s="27"/>
      <c r="B6" s="27"/>
      <c r="C6" s="27"/>
      <c r="D6" s="28"/>
      <c r="E6" s="28"/>
      <c r="F6" s="28"/>
      <c r="G6" s="28"/>
      <c r="I6" s="55"/>
      <c r="J6" s="41" t="s">
        <v>63</v>
      </c>
      <c r="K6" s="58" t="s">
        <v>64</v>
      </c>
      <c r="L6" s="58" t="s">
        <v>65</v>
      </c>
      <c r="M6" s="58" t="s">
        <v>66</v>
      </c>
      <c r="O6" s="59" t="s">
        <v>65</v>
      </c>
      <c r="P6" s="59" t="s">
        <v>66</v>
      </c>
    </row>
    <row r="7" spans="1:17" ht="29.45" customHeight="1">
      <c r="A7" s="50" t="s">
        <v>34</v>
      </c>
      <c r="B7" s="50" t="s">
        <v>3</v>
      </c>
      <c r="C7" s="50" t="s">
        <v>47</v>
      </c>
      <c r="D7" s="51" t="s">
        <v>35</v>
      </c>
      <c r="E7" s="52" t="s">
        <v>36</v>
      </c>
      <c r="F7" s="52" t="s">
        <v>49</v>
      </c>
      <c r="G7" s="52" t="s">
        <v>50</v>
      </c>
      <c r="H7" s="53" t="s">
        <v>57</v>
      </c>
      <c r="I7" s="53" t="s">
        <v>62</v>
      </c>
      <c r="J7" s="54" t="s">
        <v>67</v>
      </c>
      <c r="K7" s="56">
        <v>3.0000000000000001E-3</v>
      </c>
      <c r="L7" s="56">
        <v>3.6999999999999998E-2</v>
      </c>
      <c r="M7" s="57">
        <v>0.02</v>
      </c>
      <c r="N7" s="57" t="s">
        <v>41</v>
      </c>
      <c r="O7" s="57">
        <v>0.02</v>
      </c>
      <c r="P7" s="57">
        <v>0.01</v>
      </c>
      <c r="Q7" s="54" t="s">
        <v>41</v>
      </c>
    </row>
    <row r="8" spans="1:17">
      <c r="A8" s="48">
        <v>1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</row>
    <row r="9" spans="1:17">
      <c r="A9" s="29">
        <f t="shared" ref="A9:A11" si="0">A8+1</f>
        <v>2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17">
      <c r="A10" s="29">
        <f t="shared" si="0"/>
        <v>3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</row>
    <row r="11" spans="1:17">
      <c r="A11" s="29">
        <f t="shared" si="0"/>
        <v>4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</sheetData>
  <mergeCells count="3">
    <mergeCell ref="I1:I4"/>
    <mergeCell ref="J5:M5"/>
    <mergeCell ref="O5:P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149"/>
  <sheetViews>
    <sheetView zoomScale="85" zoomScaleNormal="85" workbookViewId="0">
      <selection activeCell="F5" sqref="F5"/>
    </sheetView>
  </sheetViews>
  <sheetFormatPr defaultColWidth="8.42578125" defaultRowHeight="12.75"/>
  <cols>
    <col min="1" max="1" width="14.5703125" style="61" customWidth="1"/>
    <col min="2" max="2" width="31.28515625" style="61" customWidth="1"/>
    <col min="3" max="3" width="13.5703125" style="61" customWidth="1"/>
    <col min="4" max="4" width="14.5703125" style="63" bestFit="1" customWidth="1"/>
    <col min="5" max="5" width="14.5703125" style="63" customWidth="1"/>
    <col min="6" max="7" width="13.42578125" style="63" customWidth="1"/>
    <col min="8" max="8" width="12.85546875" style="63" customWidth="1"/>
    <col min="9" max="10" width="16.42578125" style="63" customWidth="1"/>
    <col min="11" max="15" width="15.5703125" style="63" customWidth="1"/>
    <col min="16" max="16" width="16.42578125" style="63" customWidth="1"/>
    <col min="17" max="17" width="12.140625" style="63" customWidth="1"/>
    <col min="18" max="20" width="12.42578125" style="63" customWidth="1"/>
    <col min="21" max="21" width="15.42578125" style="63" customWidth="1"/>
    <col min="22" max="22" width="12.42578125" style="63" customWidth="1"/>
    <col min="23" max="23" width="15.42578125" style="63" customWidth="1"/>
    <col min="24" max="26" width="17.42578125" style="63" customWidth="1"/>
    <col min="27" max="27" width="12.140625" style="63" customWidth="1"/>
    <col min="28" max="28" width="18.85546875" style="61" customWidth="1"/>
    <col min="29" max="29" width="15.42578125" style="63" customWidth="1"/>
    <col min="30" max="30" width="16.85546875" style="61" customWidth="1"/>
    <col min="31" max="31" width="16.5703125" style="63" customWidth="1"/>
    <col min="32" max="32" width="13.85546875" style="61" customWidth="1"/>
    <col min="33" max="34" width="12.85546875" style="61" customWidth="1"/>
    <col min="35" max="35" width="13.85546875" style="61" bestFit="1" customWidth="1"/>
    <col min="36" max="37" width="2.5703125" style="61" customWidth="1"/>
    <col min="38" max="39" width="12.5703125" style="61" customWidth="1"/>
    <col min="40" max="40" width="2.5703125" style="61" customWidth="1"/>
    <col min="41" max="43" width="12.5703125" style="61" customWidth="1"/>
    <col min="44" max="16384" width="8.42578125" style="61"/>
  </cols>
  <sheetData>
    <row r="1" spans="1:43">
      <c r="A1" s="60" t="s">
        <v>70</v>
      </c>
      <c r="D1" s="62"/>
      <c r="E1" s="62"/>
      <c r="F1" s="61"/>
    </row>
    <row r="2" spans="1:43">
      <c r="A2" s="60" t="s">
        <v>112</v>
      </c>
      <c r="B2" s="64"/>
      <c r="C2" s="64"/>
      <c r="F2" s="65"/>
      <c r="G2" s="65"/>
    </row>
    <row r="3" spans="1:43">
      <c r="A3" s="66" t="s">
        <v>121</v>
      </c>
      <c r="B3" s="67"/>
      <c r="C3" s="68"/>
      <c r="AE3" s="69"/>
    </row>
    <row r="4" spans="1:43">
      <c r="B4" s="67"/>
      <c r="C4" s="68"/>
      <c r="AE4" s="68"/>
      <c r="AF4" s="83">
        <f>AD11-AD10</f>
        <v>2336387.5</v>
      </c>
    </row>
    <row r="5" spans="1:43">
      <c r="A5" s="128" t="s">
        <v>257</v>
      </c>
      <c r="B5" s="67"/>
      <c r="C5" s="68"/>
      <c r="AE5" s="68"/>
    </row>
    <row r="6" spans="1:43" ht="13.5" thickBot="1">
      <c r="A6" s="63"/>
      <c r="B6" s="67"/>
      <c r="C6" s="68"/>
      <c r="D6" s="63" t="s">
        <v>263</v>
      </c>
      <c r="AE6" s="68"/>
    </row>
    <row r="7" spans="1:43" ht="27.75" customHeight="1" thickBot="1">
      <c r="A7" s="256" t="s">
        <v>71</v>
      </c>
      <c r="B7" s="256" t="s">
        <v>72</v>
      </c>
      <c r="C7" s="256" t="s">
        <v>73</v>
      </c>
      <c r="D7" s="252" t="s">
        <v>114</v>
      </c>
      <c r="E7" s="252" t="s">
        <v>260</v>
      </c>
      <c r="F7" s="258" t="s">
        <v>123</v>
      </c>
      <c r="G7" s="258"/>
      <c r="H7" s="258"/>
      <c r="I7" s="252" t="s">
        <v>124</v>
      </c>
      <c r="J7" s="252" t="s">
        <v>118</v>
      </c>
      <c r="K7" s="254" t="s">
        <v>119</v>
      </c>
      <c r="L7" s="255"/>
      <c r="M7" s="264" t="s">
        <v>75</v>
      </c>
      <c r="N7" s="264" t="s">
        <v>76</v>
      </c>
      <c r="O7" s="264" t="s">
        <v>77</v>
      </c>
      <c r="P7" s="264" t="s">
        <v>78</v>
      </c>
      <c r="Q7" s="268" t="s">
        <v>79</v>
      </c>
      <c r="R7" s="266" t="s">
        <v>117</v>
      </c>
      <c r="S7" s="267"/>
      <c r="T7" s="100"/>
      <c r="U7" s="264" t="s">
        <v>80</v>
      </c>
      <c r="V7" s="264" t="s">
        <v>81</v>
      </c>
      <c r="W7" s="264" t="s">
        <v>82</v>
      </c>
      <c r="X7" s="261" t="s">
        <v>83</v>
      </c>
      <c r="Y7" s="262"/>
      <c r="Z7" s="262"/>
      <c r="AA7" s="262"/>
      <c r="AB7" s="262"/>
      <c r="AC7" s="263"/>
      <c r="AD7" s="264" t="s">
        <v>84</v>
      </c>
      <c r="AE7" s="264" t="s">
        <v>85</v>
      </c>
      <c r="AF7" s="259" t="s">
        <v>86</v>
      </c>
      <c r="AG7" s="259" t="s">
        <v>87</v>
      </c>
      <c r="AH7" s="70"/>
      <c r="AI7" s="259" t="s">
        <v>88</v>
      </c>
    </row>
    <row r="8" spans="1:43" ht="57" customHeight="1">
      <c r="A8" s="257"/>
      <c r="B8" s="257"/>
      <c r="C8" s="257"/>
      <c r="D8" s="253"/>
      <c r="E8" s="253"/>
      <c r="F8" s="102" t="s">
        <v>89</v>
      </c>
      <c r="G8" s="102" t="s">
        <v>122</v>
      </c>
      <c r="H8" s="102" t="s">
        <v>74</v>
      </c>
      <c r="I8" s="253"/>
      <c r="J8" s="253"/>
      <c r="K8" s="168" t="s">
        <v>90</v>
      </c>
      <c r="L8" s="103" t="s">
        <v>91</v>
      </c>
      <c r="M8" s="265"/>
      <c r="N8" s="265"/>
      <c r="O8" s="265"/>
      <c r="P8" s="265"/>
      <c r="Q8" s="265"/>
      <c r="R8" s="101" t="s">
        <v>115</v>
      </c>
      <c r="S8" s="101" t="s">
        <v>116</v>
      </c>
      <c r="T8" s="101" t="s">
        <v>125</v>
      </c>
      <c r="U8" s="265"/>
      <c r="V8" s="265"/>
      <c r="W8" s="265"/>
      <c r="X8" s="71" t="s">
        <v>92</v>
      </c>
      <c r="Y8" s="71" t="s">
        <v>93</v>
      </c>
      <c r="Z8" s="71" t="s">
        <v>94</v>
      </c>
      <c r="AA8" s="71" t="s">
        <v>95</v>
      </c>
      <c r="AB8" s="71" t="s">
        <v>96</v>
      </c>
      <c r="AC8" s="71" t="s">
        <v>97</v>
      </c>
      <c r="AD8" s="265"/>
      <c r="AE8" s="265"/>
      <c r="AF8" s="260"/>
      <c r="AG8" s="260"/>
      <c r="AH8" s="167" t="s">
        <v>98</v>
      </c>
      <c r="AI8" s="260"/>
    </row>
    <row r="9" spans="1:43">
      <c r="A9" s="67"/>
      <c r="B9" s="67"/>
      <c r="C9" s="67"/>
      <c r="D9" s="73"/>
      <c r="E9" s="74"/>
      <c r="F9" s="74"/>
      <c r="G9" s="73"/>
      <c r="H9" s="75"/>
      <c r="I9" s="75"/>
      <c r="J9" s="75"/>
      <c r="K9" s="75"/>
      <c r="L9" s="75"/>
      <c r="M9" s="75"/>
      <c r="N9" s="75"/>
      <c r="O9" s="75"/>
      <c r="P9" s="73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6"/>
      <c r="AG9" s="77"/>
      <c r="AH9" s="77"/>
      <c r="AI9" s="76"/>
    </row>
    <row r="10" spans="1:43">
      <c r="A10" s="78" t="s">
        <v>99</v>
      </c>
      <c r="B10" s="104" t="s">
        <v>113</v>
      </c>
      <c r="C10" s="105"/>
      <c r="D10" s="73">
        <f>22600000</f>
        <v>22600000</v>
      </c>
      <c r="E10" s="73"/>
      <c r="F10" s="73"/>
      <c r="G10" s="79"/>
      <c r="H10" s="73">
        <v>0</v>
      </c>
      <c r="I10" s="75">
        <f t="shared" ref="I10:I21" si="0">SUM(F10:H10)</f>
        <v>0</v>
      </c>
      <c r="J10" s="75">
        <f t="shared" ref="J10:J21" si="1">+D10+I10</f>
        <v>22600000</v>
      </c>
      <c r="K10" s="75">
        <f t="shared" ref="K10:K21" si="2">(0.24%*D10)+(D10*0.3%)</f>
        <v>122040</v>
      </c>
      <c r="L10" s="99">
        <f>IF(D10&gt;=12000000,12000000*4%,D10*4%)</f>
        <v>480000</v>
      </c>
      <c r="M10" s="75">
        <f t="shared" ref="M10:M21" si="3">+D10+I10+K10+L10+M9</f>
        <v>23202040</v>
      </c>
      <c r="N10" s="73"/>
      <c r="O10" s="75">
        <f>+N10+O9</f>
        <v>0</v>
      </c>
      <c r="P10" s="75">
        <f>M10+O10</f>
        <v>23202040</v>
      </c>
      <c r="Q10" s="75">
        <f>IF(5%*P10&gt;500000*1,500000*1,5%*P10)</f>
        <v>500000</v>
      </c>
      <c r="R10" s="75">
        <f t="shared" ref="R10:R21" si="4">(D10*2%)</f>
        <v>452000</v>
      </c>
      <c r="S10" s="75">
        <f t="shared" ref="S10:S21" si="5">IF(D10&gt;=9077600,9077600*1%,D10*1%)</f>
        <v>90776</v>
      </c>
      <c r="T10" s="75">
        <f>+R10+S10</f>
        <v>542776</v>
      </c>
      <c r="U10" s="75">
        <f t="shared" ref="U10" si="6">+R10+S10+U9</f>
        <v>542776</v>
      </c>
      <c r="V10" s="75">
        <f t="shared" ref="V10:V22" si="7">+Q10+U10</f>
        <v>1042776</v>
      </c>
      <c r="W10" s="75">
        <f>P10-V10</f>
        <v>22159264</v>
      </c>
      <c r="X10" s="73">
        <f>W10*12/1</f>
        <v>265911168</v>
      </c>
      <c r="Y10" s="75">
        <v>0</v>
      </c>
      <c r="Z10" s="75">
        <f t="shared" ref="Z10:Z21" si="8">SUM(X10:Y10)</f>
        <v>265911168</v>
      </c>
      <c r="AA10" s="73">
        <f t="shared" ref="AA10:AA21" si="9">IF(B10="S/0",54000000,IF(B10="S/1",58500000,IF(B10="M/0",58500000,IF(B10="M/1",63000000,IF(B10="M/2",67500000,IF(B10="M/3",72000000))))))</f>
        <v>63000000</v>
      </c>
      <c r="AB10" s="80">
        <f t="shared" ref="AB10:AB21" si="10">ROUNDDOWN(Z10-AA10,-3)</f>
        <v>202911000</v>
      </c>
      <c r="AC10" s="75">
        <f>IF(AB10&lt;=0,0,IF(AB10&lt;=60000000,0.05*AB10,IF(AB10&lt;=250000000,3000000+(AB10-60000000)*0.15,IF(AB10&lt;=500000000,31500000+(AB10-250000000)*0.25,IF(AB10&lt;=5000000000,94000000+(AB10-500000000)*0.3,IF(AB10&gt;5000000000,1444000000+(AB10-5000000000)*0.35))))))</f>
        <v>24436650</v>
      </c>
      <c r="AD10" s="81">
        <f>AC10*1/12</f>
        <v>2036387.5</v>
      </c>
      <c r="AE10" s="73">
        <f>AD10-AD9</f>
        <v>2036387.5</v>
      </c>
      <c r="AF10" s="81">
        <f>P10-P9</f>
        <v>23202040</v>
      </c>
      <c r="AG10" s="80">
        <f t="shared" ref="AG10:AG21" si="11">+P10-AF10-P9</f>
        <v>0</v>
      </c>
      <c r="AH10" s="99">
        <f t="shared" ref="AH10:AH21" si="12">IF(D10&gt;=12000000,12000000*1%,D10*1%)</f>
        <v>120000</v>
      </c>
      <c r="AI10" s="82">
        <f t="shared" ref="AI10:AI21" si="13">D10+I10+N10-AE10-T10-AH10</f>
        <v>19900836.5</v>
      </c>
      <c r="AL10" s="83">
        <v>7293979.166666667</v>
      </c>
      <c r="AM10" s="83"/>
    </row>
    <row r="11" spans="1:43" s="193" customFormat="1">
      <c r="A11" s="185" t="s">
        <v>100</v>
      </c>
      <c r="B11" s="186" t="s">
        <v>113</v>
      </c>
      <c r="C11" s="187"/>
      <c r="D11" s="188">
        <v>22600000</v>
      </c>
      <c r="E11" s="188"/>
      <c r="F11" s="188">
        <v>2000000</v>
      </c>
      <c r="G11" s="188"/>
      <c r="H11" s="188">
        <v>0</v>
      </c>
      <c r="I11" s="189">
        <f t="shared" si="0"/>
        <v>2000000</v>
      </c>
      <c r="J11" s="189">
        <f t="shared" si="1"/>
        <v>24600000</v>
      </c>
      <c r="K11" s="189">
        <f t="shared" si="2"/>
        <v>122040</v>
      </c>
      <c r="L11" s="189">
        <f t="shared" ref="L11:L21" si="14">IF(D11&gt;=12000000,12000000*4%,D11*4%)</f>
        <v>480000</v>
      </c>
      <c r="M11" s="195">
        <f t="shared" si="3"/>
        <v>48404080</v>
      </c>
      <c r="N11" s="189"/>
      <c r="O11" s="189">
        <f t="shared" ref="O11:O21" si="15">+N11+O10</f>
        <v>0</v>
      </c>
      <c r="P11" s="195">
        <f t="shared" ref="P11:P21" si="16">M11+O11</f>
        <v>48404080</v>
      </c>
      <c r="Q11" s="195">
        <f>IF(5%*P11&gt;500000*2,500000*2,5%*P11)</f>
        <v>1000000</v>
      </c>
      <c r="R11" s="189">
        <f t="shared" si="4"/>
        <v>452000</v>
      </c>
      <c r="S11" s="189">
        <f t="shared" si="5"/>
        <v>90776</v>
      </c>
      <c r="T11" s="189">
        <f t="shared" ref="T11:T21" si="17">+R11+S11</f>
        <v>542776</v>
      </c>
      <c r="U11" s="189">
        <f t="shared" ref="U11:U21" si="18">+T11+U10</f>
        <v>1085552</v>
      </c>
      <c r="V11" s="195">
        <f t="shared" si="7"/>
        <v>2085552</v>
      </c>
      <c r="W11" s="195">
        <f t="shared" ref="W11:W21" si="19">P11-V11</f>
        <v>46318528</v>
      </c>
      <c r="X11" s="188">
        <f>W11*12/2</f>
        <v>277911168</v>
      </c>
      <c r="Y11" s="189">
        <v>0</v>
      </c>
      <c r="Z11" s="189">
        <f t="shared" si="8"/>
        <v>277911168</v>
      </c>
      <c r="AA11" s="188">
        <f t="shared" si="9"/>
        <v>63000000</v>
      </c>
      <c r="AB11" s="190">
        <f t="shared" si="10"/>
        <v>214911000</v>
      </c>
      <c r="AC11" s="189">
        <f t="shared" ref="AC11:AC21" si="20">IF(AB11&lt;=0,0,IF(AB11&lt;=60000000,0.05*AB11,IF(AB11&lt;=250000000,3000000+(AB11-60000000)*0.15,IF(AB11&lt;=500000000,31500000+(AB11-250000000)*0.25,IF(AB11&lt;=5000000000,94000000+(AB11-500000000)*0.3,IF(AB11&gt;5000000000,1444000000+(AB11-5000000000)*0.35))))))</f>
        <v>26236650</v>
      </c>
      <c r="AD11" s="191">
        <f>AC11*2/12</f>
        <v>4372775</v>
      </c>
      <c r="AE11" s="196">
        <f t="shared" ref="AE11:AE21" si="21">AD11-AD10</f>
        <v>2336387.5</v>
      </c>
      <c r="AF11" s="191">
        <f t="shared" ref="AF11:AF21" si="22">P11-P10</f>
        <v>25202040</v>
      </c>
      <c r="AG11" s="190">
        <f t="shared" si="11"/>
        <v>0</v>
      </c>
      <c r="AH11" s="192">
        <f t="shared" si="12"/>
        <v>120000</v>
      </c>
      <c r="AI11" s="197">
        <f>D11+I11+N11-AE11-T11-AH11</f>
        <v>21600836.5</v>
      </c>
      <c r="AL11" s="194">
        <v>20000</v>
      </c>
      <c r="AM11" s="194"/>
    </row>
    <row r="12" spans="1:43" s="207" customFormat="1">
      <c r="A12" s="198" t="s">
        <v>101</v>
      </c>
      <c r="B12" s="199" t="s">
        <v>113</v>
      </c>
      <c r="C12" s="200"/>
      <c r="D12" s="201">
        <v>24600000</v>
      </c>
      <c r="E12" s="201">
        <v>2000000</v>
      </c>
      <c r="F12" s="201"/>
      <c r="G12" s="201"/>
      <c r="H12" s="201">
        <v>0</v>
      </c>
      <c r="I12" s="202">
        <f t="shared" si="0"/>
        <v>0</v>
      </c>
      <c r="J12" s="202">
        <f>+D12+I12+E12</f>
        <v>26600000</v>
      </c>
      <c r="K12" s="202">
        <f t="shared" si="2"/>
        <v>132840</v>
      </c>
      <c r="L12" s="202">
        <f t="shared" si="14"/>
        <v>480000</v>
      </c>
      <c r="M12" s="202">
        <f>+D12+I12+K12+L12+M11+E12</f>
        <v>75616920</v>
      </c>
      <c r="N12" s="202"/>
      <c r="O12" s="202">
        <f t="shared" si="15"/>
        <v>0</v>
      </c>
      <c r="P12" s="202">
        <f t="shared" si="16"/>
        <v>75616920</v>
      </c>
      <c r="Q12" s="202">
        <f>IF(5%*P12&gt;500000*3,500000*3,5%*P12)</f>
        <v>1500000</v>
      </c>
      <c r="R12" s="202">
        <f t="shared" si="4"/>
        <v>492000</v>
      </c>
      <c r="S12" s="202">
        <f t="shared" si="5"/>
        <v>90776</v>
      </c>
      <c r="T12" s="202">
        <f t="shared" si="17"/>
        <v>582776</v>
      </c>
      <c r="U12" s="202">
        <f t="shared" si="18"/>
        <v>1668328</v>
      </c>
      <c r="V12" s="202">
        <f t="shared" si="7"/>
        <v>3168328</v>
      </c>
      <c r="W12" s="202">
        <f t="shared" si="19"/>
        <v>72448592</v>
      </c>
      <c r="X12" s="201">
        <f>W12*12/3</f>
        <v>289794368</v>
      </c>
      <c r="Y12" s="195">
        <v>0</v>
      </c>
      <c r="Z12" s="202">
        <f t="shared" si="8"/>
        <v>289794368</v>
      </c>
      <c r="AA12" s="201">
        <f t="shared" si="9"/>
        <v>63000000</v>
      </c>
      <c r="AB12" s="203">
        <f t="shared" si="10"/>
        <v>226794000</v>
      </c>
      <c r="AC12" s="202">
        <f t="shared" si="20"/>
        <v>28019100</v>
      </c>
      <c r="AD12" s="204">
        <f>AC12*3/12</f>
        <v>7004775</v>
      </c>
      <c r="AE12" s="201">
        <f t="shared" si="21"/>
        <v>2632000</v>
      </c>
      <c r="AF12" s="204">
        <f>P12-P11</f>
        <v>27212840</v>
      </c>
      <c r="AG12" s="203">
        <f t="shared" si="11"/>
        <v>0</v>
      </c>
      <c r="AH12" s="205">
        <f t="shared" si="12"/>
        <v>120000</v>
      </c>
      <c r="AI12" s="206">
        <f>D12+I12+N12+E12-AE12-T12-AH12</f>
        <v>23265224</v>
      </c>
      <c r="AL12" s="208">
        <v>300</v>
      </c>
      <c r="AM12" s="208"/>
      <c r="AO12" s="208">
        <f>D12+I12+N12-AE12-T12-AH12</f>
        <v>21265224</v>
      </c>
    </row>
    <row r="13" spans="1:43">
      <c r="A13" s="78" t="s">
        <v>102</v>
      </c>
      <c r="B13" s="104" t="s">
        <v>113</v>
      </c>
      <c r="C13" s="105"/>
      <c r="D13" s="73">
        <v>22600000</v>
      </c>
      <c r="E13" s="73"/>
      <c r="F13" s="73"/>
      <c r="G13" s="73"/>
      <c r="H13" s="73">
        <v>0</v>
      </c>
      <c r="I13" s="75">
        <f t="shared" si="0"/>
        <v>0</v>
      </c>
      <c r="J13" s="75">
        <f t="shared" si="1"/>
        <v>22600000</v>
      </c>
      <c r="K13" s="75">
        <f t="shared" si="2"/>
        <v>122040</v>
      </c>
      <c r="L13" s="75">
        <f t="shared" si="14"/>
        <v>480000</v>
      </c>
      <c r="M13" s="75">
        <f t="shared" si="3"/>
        <v>98818960</v>
      </c>
      <c r="N13" s="75"/>
      <c r="O13" s="75">
        <f t="shared" si="15"/>
        <v>0</v>
      </c>
      <c r="P13" s="75">
        <f t="shared" si="16"/>
        <v>98818960</v>
      </c>
      <c r="Q13" s="75">
        <f>IF(5%*P13&gt;500000*4,500000*4,5%*P13)</f>
        <v>2000000</v>
      </c>
      <c r="R13" s="75">
        <f t="shared" si="4"/>
        <v>452000</v>
      </c>
      <c r="S13" s="75">
        <f t="shared" si="5"/>
        <v>90776</v>
      </c>
      <c r="T13" s="75">
        <f t="shared" si="17"/>
        <v>542776</v>
      </c>
      <c r="U13" s="75">
        <f t="shared" si="18"/>
        <v>2211104</v>
      </c>
      <c r="V13" s="75">
        <f t="shared" si="7"/>
        <v>4211104</v>
      </c>
      <c r="W13" s="75">
        <f t="shared" si="19"/>
        <v>94607856</v>
      </c>
      <c r="X13" s="73">
        <f>W13*12/4</f>
        <v>283823568</v>
      </c>
      <c r="Y13" s="75">
        <v>0</v>
      </c>
      <c r="Z13" s="75">
        <f t="shared" si="8"/>
        <v>283823568</v>
      </c>
      <c r="AA13" s="73">
        <f t="shared" si="9"/>
        <v>63000000</v>
      </c>
      <c r="AB13" s="80">
        <f t="shared" si="10"/>
        <v>220823000</v>
      </c>
      <c r="AC13" s="75">
        <f t="shared" si="20"/>
        <v>27123450</v>
      </c>
      <c r="AD13" s="81">
        <f>AC13*4/12</f>
        <v>9041150</v>
      </c>
      <c r="AE13" s="73">
        <f t="shared" si="21"/>
        <v>2036375</v>
      </c>
      <c r="AF13" s="81">
        <f t="shared" si="22"/>
        <v>23202040</v>
      </c>
      <c r="AG13" s="80">
        <f t="shared" si="11"/>
        <v>0</v>
      </c>
      <c r="AH13" s="99">
        <f t="shared" si="12"/>
        <v>120000</v>
      </c>
      <c r="AI13" s="82">
        <f t="shared" si="13"/>
        <v>19900849</v>
      </c>
      <c r="AL13" s="83">
        <v>650</v>
      </c>
      <c r="AM13" s="83"/>
    </row>
    <row r="14" spans="1:43" s="178" customFormat="1">
      <c r="A14" s="169" t="s">
        <v>103</v>
      </c>
      <c r="B14" s="170" t="s">
        <v>113</v>
      </c>
      <c r="C14" s="171"/>
      <c r="D14" s="172">
        <v>22600000</v>
      </c>
      <c r="E14" s="172"/>
      <c r="F14" s="172"/>
      <c r="G14" s="172"/>
      <c r="H14" s="172">
        <v>0</v>
      </c>
      <c r="I14" s="173">
        <f t="shared" si="0"/>
        <v>0</v>
      </c>
      <c r="J14" s="173">
        <f t="shared" si="1"/>
        <v>22600000</v>
      </c>
      <c r="K14" s="173">
        <f t="shared" si="2"/>
        <v>122040</v>
      </c>
      <c r="L14" s="173">
        <f t="shared" si="14"/>
        <v>480000</v>
      </c>
      <c r="M14" s="173">
        <f t="shared" si="3"/>
        <v>122021000</v>
      </c>
      <c r="N14" s="173"/>
      <c r="O14" s="173">
        <f t="shared" si="15"/>
        <v>0</v>
      </c>
      <c r="P14" s="173">
        <f t="shared" si="16"/>
        <v>122021000</v>
      </c>
      <c r="Q14" s="173">
        <f>IF(5%*P14&gt;500000*5,500000*5,5%*P14)</f>
        <v>2500000</v>
      </c>
      <c r="R14" s="173">
        <f t="shared" si="4"/>
        <v>452000</v>
      </c>
      <c r="S14" s="173">
        <f t="shared" si="5"/>
        <v>90776</v>
      </c>
      <c r="T14" s="173">
        <f t="shared" si="17"/>
        <v>542776</v>
      </c>
      <c r="U14" s="173">
        <f t="shared" si="18"/>
        <v>2753880</v>
      </c>
      <c r="V14" s="173">
        <f t="shared" si="7"/>
        <v>5253880</v>
      </c>
      <c r="W14" s="173">
        <f t="shared" si="19"/>
        <v>116767120</v>
      </c>
      <c r="X14" s="172">
        <f>W14*12/5</f>
        <v>280241088</v>
      </c>
      <c r="Y14" s="173">
        <v>0</v>
      </c>
      <c r="Z14" s="173">
        <f t="shared" si="8"/>
        <v>280241088</v>
      </c>
      <c r="AA14" s="172">
        <f t="shared" si="9"/>
        <v>63000000</v>
      </c>
      <c r="AB14" s="174">
        <f t="shared" si="10"/>
        <v>217241000</v>
      </c>
      <c r="AC14" s="173">
        <f t="shared" si="20"/>
        <v>26586150</v>
      </c>
      <c r="AD14" s="175">
        <f>AC14*5/12</f>
        <v>11077562.5</v>
      </c>
      <c r="AE14" s="172">
        <f t="shared" si="21"/>
        <v>2036412.5</v>
      </c>
      <c r="AF14" s="175">
        <f t="shared" si="22"/>
        <v>23202040</v>
      </c>
      <c r="AG14" s="174">
        <f t="shared" si="11"/>
        <v>0</v>
      </c>
      <c r="AH14" s="176">
        <f t="shared" si="12"/>
        <v>120000</v>
      </c>
      <c r="AI14" s="177">
        <f t="shared" si="13"/>
        <v>19900811.5</v>
      </c>
      <c r="AL14" s="179">
        <v>1500</v>
      </c>
      <c r="AM14" s="179"/>
      <c r="AO14" s="179"/>
      <c r="AP14" s="179"/>
      <c r="AQ14" s="179"/>
    </row>
    <row r="15" spans="1:43">
      <c r="A15" s="78" t="s">
        <v>104</v>
      </c>
      <c r="B15" s="104" t="s">
        <v>113</v>
      </c>
      <c r="C15" s="105"/>
      <c r="D15" s="73">
        <v>22600000</v>
      </c>
      <c r="E15" s="73"/>
      <c r="F15" s="73"/>
      <c r="G15" s="73"/>
      <c r="H15" s="73">
        <v>0</v>
      </c>
      <c r="I15" s="75">
        <f t="shared" si="0"/>
        <v>0</v>
      </c>
      <c r="J15" s="75">
        <f t="shared" si="1"/>
        <v>22600000</v>
      </c>
      <c r="K15" s="75">
        <f t="shared" si="2"/>
        <v>122040</v>
      </c>
      <c r="L15" s="75">
        <f t="shared" si="14"/>
        <v>480000</v>
      </c>
      <c r="M15" s="75">
        <f t="shared" si="3"/>
        <v>145223040</v>
      </c>
      <c r="N15" s="75"/>
      <c r="O15" s="75">
        <f t="shared" si="15"/>
        <v>0</v>
      </c>
      <c r="P15" s="75">
        <f t="shared" si="16"/>
        <v>145223040</v>
      </c>
      <c r="Q15" s="75">
        <f>IF(5%*P15&gt;500000*6,500000*6,5%*P15)</f>
        <v>3000000</v>
      </c>
      <c r="R15" s="75">
        <f t="shared" si="4"/>
        <v>452000</v>
      </c>
      <c r="S15" s="75">
        <f t="shared" si="5"/>
        <v>90776</v>
      </c>
      <c r="T15" s="75">
        <f t="shared" si="17"/>
        <v>542776</v>
      </c>
      <c r="U15" s="75">
        <f t="shared" si="18"/>
        <v>3296656</v>
      </c>
      <c r="V15" s="75">
        <f t="shared" si="7"/>
        <v>6296656</v>
      </c>
      <c r="W15" s="75">
        <f t="shared" si="19"/>
        <v>138926384</v>
      </c>
      <c r="X15" s="73">
        <f>W15*12/6</f>
        <v>277852768</v>
      </c>
      <c r="Y15" s="75">
        <v>0</v>
      </c>
      <c r="Z15" s="75">
        <f t="shared" si="8"/>
        <v>277852768</v>
      </c>
      <c r="AA15" s="73">
        <f t="shared" si="9"/>
        <v>63000000</v>
      </c>
      <c r="AB15" s="80">
        <f t="shared" si="10"/>
        <v>214852000</v>
      </c>
      <c r="AC15" s="75">
        <f t="shared" si="20"/>
        <v>26227800</v>
      </c>
      <c r="AD15" s="81">
        <f>AC15*6/12</f>
        <v>13113900</v>
      </c>
      <c r="AE15" s="73">
        <f t="shared" si="21"/>
        <v>2036337.5</v>
      </c>
      <c r="AF15" s="81">
        <f t="shared" si="22"/>
        <v>23202040</v>
      </c>
      <c r="AG15" s="80">
        <f t="shared" si="11"/>
        <v>0</v>
      </c>
      <c r="AH15" s="99">
        <f t="shared" si="12"/>
        <v>120000</v>
      </c>
      <c r="AI15" s="82">
        <f t="shared" si="13"/>
        <v>19900886.5</v>
      </c>
      <c r="AL15" s="84">
        <v>150</v>
      </c>
      <c r="AM15" s="83"/>
    </row>
    <row r="16" spans="1:43">
      <c r="A16" s="78" t="s">
        <v>105</v>
      </c>
      <c r="B16" s="104" t="s">
        <v>113</v>
      </c>
      <c r="C16" s="105"/>
      <c r="D16" s="73">
        <v>22600000</v>
      </c>
      <c r="E16" s="73"/>
      <c r="F16" s="73"/>
      <c r="G16" s="73"/>
      <c r="H16" s="73">
        <v>0</v>
      </c>
      <c r="I16" s="75">
        <f t="shared" si="0"/>
        <v>0</v>
      </c>
      <c r="J16" s="75">
        <f t="shared" si="1"/>
        <v>22600000</v>
      </c>
      <c r="K16" s="75">
        <f t="shared" si="2"/>
        <v>122040</v>
      </c>
      <c r="L16" s="75">
        <f t="shared" si="14"/>
        <v>480000</v>
      </c>
      <c r="M16" s="75">
        <f t="shared" si="3"/>
        <v>168425080</v>
      </c>
      <c r="N16" s="75"/>
      <c r="O16" s="75">
        <f t="shared" si="15"/>
        <v>0</v>
      </c>
      <c r="P16" s="75">
        <f t="shared" si="16"/>
        <v>168425080</v>
      </c>
      <c r="Q16" s="75">
        <f>IF(5%*P16&gt;500000*7,500000*7,5%*P16)</f>
        <v>3500000</v>
      </c>
      <c r="R16" s="75">
        <f t="shared" si="4"/>
        <v>452000</v>
      </c>
      <c r="S16" s="75">
        <f t="shared" si="5"/>
        <v>90776</v>
      </c>
      <c r="T16" s="75">
        <f t="shared" si="17"/>
        <v>542776</v>
      </c>
      <c r="U16" s="75">
        <f t="shared" si="18"/>
        <v>3839432</v>
      </c>
      <c r="V16" s="75">
        <f t="shared" si="7"/>
        <v>7339432</v>
      </c>
      <c r="W16" s="75">
        <f t="shared" si="19"/>
        <v>161085648</v>
      </c>
      <c r="X16" s="73">
        <f>W16*12/7</f>
        <v>276146825.14285713</v>
      </c>
      <c r="Y16" s="75">
        <v>0</v>
      </c>
      <c r="Z16" s="75">
        <f t="shared" si="8"/>
        <v>276146825.14285713</v>
      </c>
      <c r="AA16" s="73">
        <f t="shared" si="9"/>
        <v>63000000</v>
      </c>
      <c r="AB16" s="80">
        <f t="shared" si="10"/>
        <v>213146000</v>
      </c>
      <c r="AC16" s="75">
        <f t="shared" si="20"/>
        <v>25971900</v>
      </c>
      <c r="AD16" s="81">
        <f>AC16*7/12</f>
        <v>15150275</v>
      </c>
      <c r="AE16" s="73">
        <f t="shared" si="21"/>
        <v>2036375</v>
      </c>
      <c r="AF16" s="81">
        <f t="shared" si="22"/>
        <v>23202040</v>
      </c>
      <c r="AG16" s="80">
        <f t="shared" si="11"/>
        <v>0</v>
      </c>
      <c r="AH16" s="99">
        <f t="shared" si="12"/>
        <v>120000</v>
      </c>
      <c r="AI16" s="82">
        <f t="shared" si="13"/>
        <v>19900849</v>
      </c>
      <c r="AL16" s="84"/>
      <c r="AM16" s="83"/>
    </row>
    <row r="17" spans="1:39">
      <c r="A17" s="78" t="s">
        <v>106</v>
      </c>
      <c r="B17" s="104" t="s">
        <v>113</v>
      </c>
      <c r="C17" s="105"/>
      <c r="D17" s="73">
        <v>22600000</v>
      </c>
      <c r="E17" s="73"/>
      <c r="F17" s="73"/>
      <c r="G17" s="73"/>
      <c r="H17" s="73">
        <v>0</v>
      </c>
      <c r="I17" s="75">
        <f t="shared" si="0"/>
        <v>0</v>
      </c>
      <c r="J17" s="75">
        <f t="shared" si="1"/>
        <v>22600000</v>
      </c>
      <c r="K17" s="75">
        <f t="shared" si="2"/>
        <v>122040</v>
      </c>
      <c r="L17" s="75">
        <f t="shared" si="14"/>
        <v>480000</v>
      </c>
      <c r="M17" s="75">
        <f t="shared" si="3"/>
        <v>191627120</v>
      </c>
      <c r="N17" s="75"/>
      <c r="O17" s="75">
        <f t="shared" si="15"/>
        <v>0</v>
      </c>
      <c r="P17" s="75">
        <f t="shared" si="16"/>
        <v>191627120</v>
      </c>
      <c r="Q17" s="75">
        <f>IF(5%*P17&gt;500000*8,500000*8,5%*P17)</f>
        <v>4000000</v>
      </c>
      <c r="R17" s="75">
        <f t="shared" si="4"/>
        <v>452000</v>
      </c>
      <c r="S17" s="75">
        <f t="shared" si="5"/>
        <v>90776</v>
      </c>
      <c r="T17" s="75">
        <f t="shared" si="17"/>
        <v>542776</v>
      </c>
      <c r="U17" s="75">
        <f t="shared" si="18"/>
        <v>4382208</v>
      </c>
      <c r="V17" s="75">
        <f t="shared" si="7"/>
        <v>8382208</v>
      </c>
      <c r="W17" s="75">
        <f t="shared" si="19"/>
        <v>183244912</v>
      </c>
      <c r="X17" s="73">
        <f>W17*12/8</f>
        <v>274867368</v>
      </c>
      <c r="Y17" s="75">
        <v>0</v>
      </c>
      <c r="Z17" s="75">
        <f t="shared" si="8"/>
        <v>274867368</v>
      </c>
      <c r="AA17" s="73">
        <f t="shared" si="9"/>
        <v>63000000</v>
      </c>
      <c r="AB17" s="80">
        <f t="shared" si="10"/>
        <v>211867000</v>
      </c>
      <c r="AC17" s="75">
        <f t="shared" si="20"/>
        <v>25780050</v>
      </c>
      <c r="AD17" s="81">
        <f>AC17*8/12</f>
        <v>17186700</v>
      </c>
      <c r="AE17" s="73">
        <f t="shared" si="21"/>
        <v>2036425</v>
      </c>
      <c r="AF17" s="81">
        <f t="shared" si="22"/>
        <v>23202040</v>
      </c>
      <c r="AG17" s="80">
        <f t="shared" si="11"/>
        <v>0</v>
      </c>
      <c r="AH17" s="99">
        <f t="shared" si="12"/>
        <v>120000</v>
      </c>
      <c r="AI17" s="82">
        <f t="shared" si="13"/>
        <v>19900799</v>
      </c>
      <c r="AL17" s="84">
        <f>D11+I11+N11-AE11-T11-AH11</f>
        <v>21600836.5</v>
      </c>
      <c r="AM17" s="83"/>
    </row>
    <row r="18" spans="1:39">
      <c r="A18" s="78" t="s">
        <v>107</v>
      </c>
      <c r="B18" s="104" t="s">
        <v>113</v>
      </c>
      <c r="C18" s="105"/>
      <c r="D18" s="73">
        <v>22600000</v>
      </c>
      <c r="E18" s="73"/>
      <c r="F18" s="73"/>
      <c r="G18" s="73"/>
      <c r="H18" s="73">
        <v>0</v>
      </c>
      <c r="I18" s="75">
        <f t="shared" si="0"/>
        <v>0</v>
      </c>
      <c r="J18" s="75">
        <f t="shared" si="1"/>
        <v>22600000</v>
      </c>
      <c r="K18" s="75">
        <f t="shared" si="2"/>
        <v>122040</v>
      </c>
      <c r="L18" s="75">
        <f t="shared" si="14"/>
        <v>480000</v>
      </c>
      <c r="M18" s="75">
        <f t="shared" si="3"/>
        <v>214829160</v>
      </c>
      <c r="N18" s="75"/>
      <c r="O18" s="75">
        <f t="shared" si="15"/>
        <v>0</v>
      </c>
      <c r="P18" s="75">
        <f t="shared" si="16"/>
        <v>214829160</v>
      </c>
      <c r="Q18" s="75">
        <f>IF(5%*P18&gt;500000*9,500000*9,5%*P18)</f>
        <v>4500000</v>
      </c>
      <c r="R18" s="75">
        <f t="shared" si="4"/>
        <v>452000</v>
      </c>
      <c r="S18" s="75">
        <f t="shared" si="5"/>
        <v>90776</v>
      </c>
      <c r="T18" s="75">
        <f t="shared" si="17"/>
        <v>542776</v>
      </c>
      <c r="U18" s="75">
        <f t="shared" si="18"/>
        <v>4924984</v>
      </c>
      <c r="V18" s="75">
        <f t="shared" si="7"/>
        <v>9424984</v>
      </c>
      <c r="W18" s="75">
        <f t="shared" si="19"/>
        <v>205404176</v>
      </c>
      <c r="X18" s="73">
        <f>W18*12/9</f>
        <v>273872234.66666669</v>
      </c>
      <c r="Y18" s="75">
        <v>0</v>
      </c>
      <c r="Z18" s="75">
        <f t="shared" si="8"/>
        <v>273872234.66666669</v>
      </c>
      <c r="AA18" s="73">
        <f t="shared" si="9"/>
        <v>63000000</v>
      </c>
      <c r="AB18" s="80">
        <f t="shared" si="10"/>
        <v>210872000</v>
      </c>
      <c r="AC18" s="75">
        <f t="shared" si="20"/>
        <v>25630800</v>
      </c>
      <c r="AD18" s="81">
        <f>AC18*9/12</f>
        <v>19223100</v>
      </c>
      <c r="AE18" s="73">
        <f t="shared" si="21"/>
        <v>2036400</v>
      </c>
      <c r="AF18" s="81">
        <f t="shared" si="22"/>
        <v>23202040</v>
      </c>
      <c r="AG18" s="80">
        <f t="shared" si="11"/>
        <v>0</v>
      </c>
      <c r="AH18" s="99">
        <f t="shared" si="12"/>
        <v>120000</v>
      </c>
      <c r="AI18" s="82">
        <f t="shared" si="13"/>
        <v>19900824</v>
      </c>
    </row>
    <row r="19" spans="1:39">
      <c r="A19" s="78" t="s">
        <v>108</v>
      </c>
      <c r="B19" s="104" t="s">
        <v>113</v>
      </c>
      <c r="C19" s="105"/>
      <c r="D19" s="73">
        <v>22600000</v>
      </c>
      <c r="E19" s="73"/>
      <c r="F19" s="73"/>
      <c r="G19" s="73"/>
      <c r="H19" s="73">
        <v>0</v>
      </c>
      <c r="I19" s="75">
        <f t="shared" si="0"/>
        <v>0</v>
      </c>
      <c r="J19" s="75">
        <f t="shared" si="1"/>
        <v>22600000</v>
      </c>
      <c r="K19" s="75">
        <f t="shared" si="2"/>
        <v>122040</v>
      </c>
      <c r="L19" s="75">
        <f t="shared" si="14"/>
        <v>480000</v>
      </c>
      <c r="M19" s="75">
        <f t="shared" si="3"/>
        <v>238031200</v>
      </c>
      <c r="N19" s="75"/>
      <c r="O19" s="75">
        <f t="shared" si="15"/>
        <v>0</v>
      </c>
      <c r="P19" s="75">
        <f t="shared" si="16"/>
        <v>238031200</v>
      </c>
      <c r="Q19" s="75">
        <f>IF(5%*P19&gt;500000*10,500000*10,5%*P19)</f>
        <v>5000000</v>
      </c>
      <c r="R19" s="75">
        <f t="shared" si="4"/>
        <v>452000</v>
      </c>
      <c r="S19" s="75">
        <f t="shared" si="5"/>
        <v>90776</v>
      </c>
      <c r="T19" s="75">
        <f t="shared" si="17"/>
        <v>542776</v>
      </c>
      <c r="U19" s="75">
        <f t="shared" si="18"/>
        <v>5467760</v>
      </c>
      <c r="V19" s="75">
        <f t="shared" si="7"/>
        <v>10467760</v>
      </c>
      <c r="W19" s="75">
        <f t="shared" si="19"/>
        <v>227563440</v>
      </c>
      <c r="X19" s="73">
        <f>W19*12/10</f>
        <v>273076128</v>
      </c>
      <c r="Y19" s="75">
        <v>0</v>
      </c>
      <c r="Z19" s="75">
        <f t="shared" si="8"/>
        <v>273076128</v>
      </c>
      <c r="AA19" s="73">
        <f t="shared" si="9"/>
        <v>63000000</v>
      </c>
      <c r="AB19" s="80">
        <f t="shared" si="10"/>
        <v>210076000</v>
      </c>
      <c r="AC19" s="75">
        <f t="shared" si="20"/>
        <v>25511400</v>
      </c>
      <c r="AD19" s="81">
        <f>AC19*10/12</f>
        <v>21259500</v>
      </c>
      <c r="AE19" s="73">
        <f t="shared" si="21"/>
        <v>2036400</v>
      </c>
      <c r="AF19" s="81">
        <f t="shared" si="22"/>
        <v>23202040</v>
      </c>
      <c r="AG19" s="80">
        <f t="shared" si="11"/>
        <v>0</v>
      </c>
      <c r="AH19" s="99">
        <f t="shared" si="12"/>
        <v>120000</v>
      </c>
      <c r="AI19" s="82">
        <f t="shared" si="13"/>
        <v>19900824</v>
      </c>
    </row>
    <row r="20" spans="1:39">
      <c r="A20" s="78" t="s">
        <v>109</v>
      </c>
      <c r="B20" s="104" t="s">
        <v>113</v>
      </c>
      <c r="C20" s="105"/>
      <c r="D20" s="73">
        <v>22600000</v>
      </c>
      <c r="E20" s="73"/>
      <c r="F20" s="73"/>
      <c r="G20" s="73"/>
      <c r="H20" s="73">
        <v>0</v>
      </c>
      <c r="I20" s="75">
        <f t="shared" si="0"/>
        <v>0</v>
      </c>
      <c r="J20" s="75">
        <f t="shared" si="1"/>
        <v>22600000</v>
      </c>
      <c r="K20" s="75">
        <f t="shared" si="2"/>
        <v>122040</v>
      </c>
      <c r="L20" s="75">
        <f t="shared" si="14"/>
        <v>480000</v>
      </c>
      <c r="M20" s="75">
        <f t="shared" si="3"/>
        <v>261233240</v>
      </c>
      <c r="N20" s="75"/>
      <c r="O20" s="75">
        <f t="shared" si="15"/>
        <v>0</v>
      </c>
      <c r="P20" s="75">
        <f t="shared" si="16"/>
        <v>261233240</v>
      </c>
      <c r="Q20" s="75">
        <f>IF(5%*P20&gt;500000*11,500000*11,5%*P20)</f>
        <v>5500000</v>
      </c>
      <c r="R20" s="75">
        <f t="shared" si="4"/>
        <v>452000</v>
      </c>
      <c r="S20" s="75">
        <f t="shared" si="5"/>
        <v>90776</v>
      </c>
      <c r="T20" s="75">
        <f t="shared" si="17"/>
        <v>542776</v>
      </c>
      <c r="U20" s="75">
        <f t="shared" si="18"/>
        <v>6010536</v>
      </c>
      <c r="V20" s="75">
        <f t="shared" si="7"/>
        <v>11510536</v>
      </c>
      <c r="W20" s="75">
        <f t="shared" si="19"/>
        <v>249722704</v>
      </c>
      <c r="X20" s="73">
        <f>W20*12/11</f>
        <v>272424768</v>
      </c>
      <c r="Y20" s="75">
        <v>0</v>
      </c>
      <c r="Z20" s="75">
        <f t="shared" si="8"/>
        <v>272424768</v>
      </c>
      <c r="AA20" s="73">
        <f t="shared" si="9"/>
        <v>63000000</v>
      </c>
      <c r="AB20" s="80">
        <f t="shared" si="10"/>
        <v>209424000</v>
      </c>
      <c r="AC20" s="75">
        <f t="shared" si="20"/>
        <v>25413600</v>
      </c>
      <c r="AD20" s="81">
        <f>AC20*11/12</f>
        <v>23295800</v>
      </c>
      <c r="AE20" s="73">
        <f t="shared" si="21"/>
        <v>2036300</v>
      </c>
      <c r="AF20" s="81">
        <f t="shared" si="22"/>
        <v>23202040</v>
      </c>
      <c r="AG20" s="80">
        <f t="shared" si="11"/>
        <v>0</v>
      </c>
      <c r="AH20" s="99">
        <f t="shared" si="12"/>
        <v>120000</v>
      </c>
      <c r="AI20" s="82">
        <f t="shared" si="13"/>
        <v>19900924</v>
      </c>
      <c r="AL20" s="83"/>
    </row>
    <row r="21" spans="1:39">
      <c r="A21" s="85" t="s">
        <v>110</v>
      </c>
      <c r="B21" s="104" t="s">
        <v>113</v>
      </c>
      <c r="C21" s="105"/>
      <c r="D21" s="73">
        <v>22600000</v>
      </c>
      <c r="E21" s="73"/>
      <c r="F21" s="73"/>
      <c r="G21" s="73"/>
      <c r="H21" s="73">
        <v>0</v>
      </c>
      <c r="I21" s="75">
        <f t="shared" si="0"/>
        <v>0</v>
      </c>
      <c r="J21" s="75">
        <f t="shared" si="1"/>
        <v>22600000</v>
      </c>
      <c r="K21" s="75">
        <f t="shared" si="2"/>
        <v>122040</v>
      </c>
      <c r="L21" s="75">
        <f t="shared" si="14"/>
        <v>480000</v>
      </c>
      <c r="M21" s="75">
        <f t="shared" si="3"/>
        <v>284435280</v>
      </c>
      <c r="N21" s="75"/>
      <c r="O21" s="75">
        <f t="shared" si="15"/>
        <v>0</v>
      </c>
      <c r="P21" s="75">
        <f t="shared" si="16"/>
        <v>284435280</v>
      </c>
      <c r="Q21" s="75">
        <f>IF(5%*P21&gt;500000*12,500000*12,5%*P21)</f>
        <v>6000000</v>
      </c>
      <c r="R21" s="75">
        <f t="shared" si="4"/>
        <v>452000</v>
      </c>
      <c r="S21" s="75">
        <f t="shared" si="5"/>
        <v>90776</v>
      </c>
      <c r="T21" s="75">
        <f t="shared" si="17"/>
        <v>542776</v>
      </c>
      <c r="U21" s="75">
        <f t="shared" si="18"/>
        <v>6553312</v>
      </c>
      <c r="V21" s="75">
        <f t="shared" si="7"/>
        <v>12553312</v>
      </c>
      <c r="W21" s="75">
        <f t="shared" si="19"/>
        <v>271881968</v>
      </c>
      <c r="X21" s="73">
        <f>W21*12/12</f>
        <v>271881968</v>
      </c>
      <c r="Y21" s="75">
        <v>0</v>
      </c>
      <c r="Z21" s="75">
        <f t="shared" si="8"/>
        <v>271881968</v>
      </c>
      <c r="AA21" s="73">
        <f t="shared" si="9"/>
        <v>63000000</v>
      </c>
      <c r="AB21" s="80">
        <f t="shared" si="10"/>
        <v>208881000</v>
      </c>
      <c r="AC21" s="75">
        <f t="shared" si="20"/>
        <v>25332150</v>
      </c>
      <c r="AD21" s="81">
        <f>AC21*12/12</f>
        <v>25332150</v>
      </c>
      <c r="AE21" s="73">
        <f t="shared" si="21"/>
        <v>2036350</v>
      </c>
      <c r="AF21" s="81">
        <f t="shared" si="22"/>
        <v>23202040</v>
      </c>
      <c r="AG21" s="80">
        <f t="shared" si="11"/>
        <v>0</v>
      </c>
      <c r="AH21" s="99">
        <f t="shared" si="12"/>
        <v>120000</v>
      </c>
      <c r="AI21" s="82">
        <f t="shared" si="13"/>
        <v>19900874</v>
      </c>
    </row>
    <row r="22" spans="1:39" ht="13.5" thickBot="1">
      <c r="A22" s="86" t="s">
        <v>111</v>
      </c>
      <c r="B22" s="86"/>
      <c r="C22" s="86"/>
      <c r="D22" s="87">
        <f t="shared" ref="D22:J22" si="23">SUM(D10:D21)</f>
        <v>273200000</v>
      </c>
      <c r="E22" s="87"/>
      <c r="F22" s="87">
        <f t="shared" si="23"/>
        <v>2000000</v>
      </c>
      <c r="G22" s="87">
        <f t="shared" si="23"/>
        <v>0</v>
      </c>
      <c r="H22" s="87">
        <f t="shared" si="23"/>
        <v>0</v>
      </c>
      <c r="I22" s="87">
        <f t="shared" si="23"/>
        <v>2000000</v>
      </c>
      <c r="J22" s="87">
        <f t="shared" si="23"/>
        <v>277200000</v>
      </c>
      <c r="K22" s="87">
        <f>SUM(K10:K21)</f>
        <v>1475280</v>
      </c>
      <c r="L22" s="87">
        <f>SUM(L10:L21)</f>
        <v>5760000</v>
      </c>
      <c r="M22" s="87">
        <f>+D22+I22+K22+L22</f>
        <v>282435280</v>
      </c>
      <c r="N22" s="87">
        <f>SUM(N10:N21)</f>
        <v>0</v>
      </c>
      <c r="O22" s="87">
        <f>+O21</f>
        <v>0</v>
      </c>
      <c r="P22" s="87">
        <f>+M22+O22</f>
        <v>282435280</v>
      </c>
      <c r="Q22" s="88">
        <f>Q21</f>
        <v>6000000</v>
      </c>
      <c r="R22" s="87">
        <f>SUM(R10:R21)</f>
        <v>5464000</v>
      </c>
      <c r="S22" s="87">
        <f>SUM(S10:S21)</f>
        <v>1089312</v>
      </c>
      <c r="T22" s="87">
        <f>SUM(T10:T21)</f>
        <v>6553312</v>
      </c>
      <c r="U22" s="88">
        <f>+U21</f>
        <v>6553312</v>
      </c>
      <c r="V22" s="88">
        <f t="shared" si="7"/>
        <v>12553312</v>
      </c>
      <c r="W22" s="88">
        <f>P22-V22</f>
        <v>269881968</v>
      </c>
      <c r="X22" s="88">
        <f>X21</f>
        <v>271881968</v>
      </c>
      <c r="Y22" s="88">
        <f>+Y21</f>
        <v>0</v>
      </c>
      <c r="Z22" s="88">
        <f>SUM(X22:Y22)</f>
        <v>271881968</v>
      </c>
      <c r="AA22" s="88">
        <f>AA21</f>
        <v>63000000</v>
      </c>
      <c r="AB22" s="89">
        <f>ROUNDDOWN(Z22-AA22,-3)</f>
        <v>208881000</v>
      </c>
      <c r="AC22" s="87">
        <f>IF(AB22&lt;=0,0,IF(AB22&lt;=50000000,0.05*AB22,IF(AB22&lt;=250000000,2500000+(AB22-50000000)*0.15,IF(AB22&lt;=500000000,32500000+(AB22-250000000)*0.25,IF(AB22&gt;500000000,95000000+(AB22-500000000)*0.3)))))</f>
        <v>26332150</v>
      </c>
      <c r="AD22" s="89">
        <f>AC22*12/12</f>
        <v>26332150</v>
      </c>
      <c r="AE22" s="88">
        <f>SUM(AE10:AE21)</f>
        <v>25332150</v>
      </c>
      <c r="AF22" s="90">
        <f>SUM(AF10:AF21)</f>
        <v>284435280</v>
      </c>
      <c r="AG22" s="89">
        <f>SUM(AG10:AG21)</f>
        <v>0</v>
      </c>
      <c r="AH22" s="89"/>
      <c r="AI22" s="91"/>
      <c r="AL22" s="84"/>
      <c r="AM22" s="83"/>
    </row>
    <row r="23" spans="1:39" ht="13.5" thickTop="1">
      <c r="A23" s="92"/>
      <c r="B23" s="92"/>
      <c r="C23" s="92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4"/>
      <c r="AC23" s="93"/>
      <c r="AD23" s="95"/>
      <c r="AE23" s="93"/>
      <c r="AF23" s="96"/>
      <c r="AG23" s="95"/>
      <c r="AH23" s="95"/>
      <c r="AI23" s="96"/>
    </row>
    <row r="24" spans="1:39">
      <c r="AD24" s="97"/>
      <c r="AE24" s="63">
        <v>46538500</v>
      </c>
      <c r="AF24" s="98"/>
    </row>
    <row r="25" spans="1:39">
      <c r="N25" s="63">
        <f>M12-M11</f>
        <v>27212840</v>
      </c>
    </row>
    <row r="26" spans="1:39">
      <c r="A26" s="60" t="s">
        <v>70</v>
      </c>
      <c r="D26" s="62"/>
      <c r="E26" s="62"/>
    </row>
    <row r="27" spans="1:39">
      <c r="A27" s="60" t="s">
        <v>112</v>
      </c>
      <c r="B27" s="64"/>
      <c r="C27" s="64"/>
      <c r="F27" s="61"/>
      <c r="G27" s="65"/>
    </row>
    <row r="28" spans="1:39">
      <c r="A28" s="66" t="s">
        <v>121</v>
      </c>
      <c r="B28" s="67"/>
      <c r="C28" s="68"/>
      <c r="AE28" s="69"/>
    </row>
    <row r="29" spans="1:39">
      <c r="A29" s="125"/>
      <c r="B29" s="67"/>
      <c r="C29" s="68"/>
      <c r="AE29" s="68"/>
    </row>
    <row r="30" spans="1:39">
      <c r="A30" s="128" t="s">
        <v>258</v>
      </c>
      <c r="B30" s="67"/>
      <c r="C30" s="68"/>
      <c r="AE30" s="68"/>
    </row>
    <row r="31" spans="1:39" ht="13.5" thickBot="1">
      <c r="A31" s="128"/>
      <c r="B31" s="67"/>
      <c r="C31" s="68"/>
      <c r="AE31" s="68"/>
    </row>
    <row r="32" spans="1:39" ht="27.75" customHeight="1" thickBot="1">
      <c r="A32" s="256" t="s">
        <v>71</v>
      </c>
      <c r="B32" s="256" t="s">
        <v>72</v>
      </c>
      <c r="C32" s="256" t="s">
        <v>73</v>
      </c>
      <c r="D32" s="252" t="s">
        <v>114</v>
      </c>
      <c r="E32" s="252" t="s">
        <v>260</v>
      </c>
      <c r="F32" s="258" t="s">
        <v>123</v>
      </c>
      <c r="G32" s="258"/>
      <c r="H32" s="258"/>
      <c r="I32" s="252" t="s">
        <v>124</v>
      </c>
      <c r="J32" s="252" t="s">
        <v>118</v>
      </c>
      <c r="K32" s="254" t="s">
        <v>119</v>
      </c>
      <c r="L32" s="255"/>
      <c r="M32" s="264" t="s">
        <v>75</v>
      </c>
      <c r="N32" s="264" t="s">
        <v>76</v>
      </c>
      <c r="O32" s="264" t="s">
        <v>77</v>
      </c>
      <c r="P32" s="264" t="s">
        <v>78</v>
      </c>
      <c r="Q32" s="268" t="s">
        <v>79</v>
      </c>
      <c r="R32" s="266" t="s">
        <v>117</v>
      </c>
      <c r="S32" s="267"/>
      <c r="T32" s="100"/>
      <c r="U32" s="264" t="s">
        <v>80</v>
      </c>
      <c r="V32" s="264" t="s">
        <v>81</v>
      </c>
      <c r="W32" s="264" t="s">
        <v>82</v>
      </c>
      <c r="X32" s="261" t="s">
        <v>83</v>
      </c>
      <c r="Y32" s="262"/>
      <c r="Z32" s="262"/>
      <c r="AA32" s="262"/>
      <c r="AB32" s="262"/>
      <c r="AC32" s="263"/>
      <c r="AD32" s="264" t="s">
        <v>84</v>
      </c>
      <c r="AE32" s="264" t="s">
        <v>85</v>
      </c>
      <c r="AF32" s="259" t="s">
        <v>86</v>
      </c>
      <c r="AG32" s="259" t="s">
        <v>87</v>
      </c>
      <c r="AH32" s="70"/>
      <c r="AI32" s="259" t="s">
        <v>88</v>
      </c>
    </row>
    <row r="33" spans="1:43" ht="57" customHeight="1">
      <c r="A33" s="257"/>
      <c r="B33" s="257"/>
      <c r="C33" s="257"/>
      <c r="D33" s="253"/>
      <c r="E33" s="253"/>
      <c r="F33" s="102" t="s">
        <v>89</v>
      </c>
      <c r="G33" s="102" t="s">
        <v>122</v>
      </c>
      <c r="H33" s="102" t="s">
        <v>74</v>
      </c>
      <c r="I33" s="253"/>
      <c r="J33" s="253"/>
      <c r="K33" s="103" t="s">
        <v>90</v>
      </c>
      <c r="L33" s="103" t="s">
        <v>91</v>
      </c>
      <c r="M33" s="265"/>
      <c r="N33" s="265"/>
      <c r="O33" s="265"/>
      <c r="P33" s="265"/>
      <c r="Q33" s="265"/>
      <c r="R33" s="101" t="s">
        <v>115</v>
      </c>
      <c r="S33" s="101" t="s">
        <v>116</v>
      </c>
      <c r="T33" s="101" t="s">
        <v>125</v>
      </c>
      <c r="U33" s="265"/>
      <c r="V33" s="265"/>
      <c r="W33" s="265"/>
      <c r="X33" s="71" t="s">
        <v>92</v>
      </c>
      <c r="Y33" s="71" t="s">
        <v>93</v>
      </c>
      <c r="Z33" s="71" t="s">
        <v>94</v>
      </c>
      <c r="AA33" s="71" t="s">
        <v>95</v>
      </c>
      <c r="AB33" s="71" t="s">
        <v>96</v>
      </c>
      <c r="AC33" s="71" t="s">
        <v>97</v>
      </c>
      <c r="AD33" s="265"/>
      <c r="AE33" s="265"/>
      <c r="AF33" s="260"/>
      <c r="AG33" s="260"/>
      <c r="AH33" s="72" t="s">
        <v>98</v>
      </c>
      <c r="AI33" s="260"/>
    </row>
    <row r="34" spans="1:43" ht="12.6" customHeight="1">
      <c r="A34" s="67"/>
      <c r="B34" s="67"/>
      <c r="C34" s="67"/>
      <c r="D34" s="73"/>
      <c r="E34" s="74"/>
      <c r="F34" s="74"/>
      <c r="G34" s="73"/>
      <c r="H34" s="75"/>
      <c r="I34" s="75"/>
      <c r="J34" s="75"/>
      <c r="K34" s="75"/>
      <c r="L34" s="75"/>
      <c r="M34" s="75"/>
      <c r="N34" s="75"/>
      <c r="O34" s="75"/>
      <c r="P34" s="73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6"/>
      <c r="AG34" s="77"/>
      <c r="AH34" s="77"/>
      <c r="AI34" s="76"/>
    </row>
    <row r="35" spans="1:43" s="155" customFormat="1">
      <c r="A35" s="145" t="s">
        <v>99</v>
      </c>
      <c r="B35" s="146" t="s">
        <v>113</v>
      </c>
      <c r="C35" s="147"/>
      <c r="D35" s="148">
        <f>22600000</f>
        <v>22600000</v>
      </c>
      <c r="E35" s="148"/>
      <c r="F35" s="148"/>
      <c r="G35" s="149"/>
      <c r="H35" s="148">
        <v>0</v>
      </c>
      <c r="I35" s="150">
        <f t="shared" ref="I35:I46" si="24">SUM(F35:H35)</f>
        <v>0</v>
      </c>
      <c r="J35" s="150">
        <f t="shared" ref="J35:J46" si="25">+D35+I35</f>
        <v>22600000</v>
      </c>
      <c r="K35" s="150">
        <f t="shared" ref="K35:K46" si="26">(0.24%*D35)+(D35*0.3%)</f>
        <v>122040</v>
      </c>
      <c r="L35" s="151">
        <f t="shared" ref="L35:L46" si="27">IF(D35&gt;=12000000,12000000*4%,D35*4%)</f>
        <v>480000</v>
      </c>
      <c r="M35" s="150">
        <f t="shared" ref="M35:M46" si="28">+D35+I35+K35+L35+M34</f>
        <v>23202040</v>
      </c>
      <c r="N35" s="157">
        <f>D35</f>
        <v>22600000</v>
      </c>
      <c r="O35" s="150">
        <f>+N35+O34</f>
        <v>22600000</v>
      </c>
      <c r="P35" s="150">
        <f>M35+O35</f>
        <v>45802040</v>
      </c>
      <c r="Q35" s="150">
        <f>IF(5%*P35&gt;500000*1,500000*1,5%*P35)</f>
        <v>500000</v>
      </c>
      <c r="R35" s="150">
        <f t="shared" ref="R35:R46" si="29">(D35*2%)</f>
        <v>452000</v>
      </c>
      <c r="S35" s="150">
        <f t="shared" ref="S35:S46" si="30">IF(D35&gt;=9077600,9077600*1%,D35*1%)</f>
        <v>90776</v>
      </c>
      <c r="T35" s="150">
        <f>+R35+S35</f>
        <v>542776</v>
      </c>
      <c r="U35" s="150">
        <f t="shared" ref="U35" si="31">+R35+S35+U34</f>
        <v>542776</v>
      </c>
      <c r="V35" s="150">
        <f t="shared" ref="V35:V47" si="32">+Q35+U35</f>
        <v>1042776</v>
      </c>
      <c r="W35" s="150">
        <f>P35-V35</f>
        <v>44759264</v>
      </c>
      <c r="X35" s="148">
        <f>W35*12/1</f>
        <v>537111168</v>
      </c>
      <c r="Y35" s="150">
        <v>0</v>
      </c>
      <c r="Z35" s="150">
        <f t="shared" ref="Z35:Z46" si="33">SUM(X35:Y35)</f>
        <v>537111168</v>
      </c>
      <c r="AA35" s="148">
        <f t="shared" ref="AA35:AA46" si="34">IF(B35="S/0",54000000,IF(B35="S/1",58500000,IF(B35="M/0",58500000,IF(B35="M/1",63000000,IF(B35="M/2",67500000,IF(B35="M/3",72000000))))))</f>
        <v>63000000</v>
      </c>
      <c r="AB35" s="152">
        <f t="shared" ref="AB35:AB46" si="35">ROUNDDOWN(Z35-AA35,-3)</f>
        <v>474111000</v>
      </c>
      <c r="AC35" s="150">
        <f>IF(AB35&lt;=0,0,IF(AB35&lt;=60000000,0.05*AB35,IF(AB35&lt;=250000000,3000000+(AB35-60000000)*0.15,IF(AB35&lt;=500000000,31500000+(AB35-250000000)*0.25,IF(AB35&lt;=5000000000,94000000+(AB35-500000000)*0.3,IF(AB35&gt;5000000000,1444000000+(AB35-5000000000)*0.35))))))</f>
        <v>87527750</v>
      </c>
      <c r="AD35" s="153">
        <f>AC35*1/12</f>
        <v>7293979.166666667</v>
      </c>
      <c r="AE35" s="148">
        <f>AD35-AD34</f>
        <v>7293979.166666667</v>
      </c>
      <c r="AF35" s="153">
        <f>P35-P34</f>
        <v>45802040</v>
      </c>
      <c r="AG35" s="152">
        <f t="shared" ref="AG35:AG46" si="36">+P35-AF35-P34</f>
        <v>0</v>
      </c>
      <c r="AH35" s="151">
        <f t="shared" ref="AH35:AH46" si="37">IF(D35&gt;=12000000,12000000*1%,D35*1%)</f>
        <v>120000</v>
      </c>
      <c r="AI35" s="154">
        <f>D35+I35+N35-AE35-T35-AH35</f>
        <v>37243244.833333336</v>
      </c>
      <c r="AL35" s="156">
        <v>7293979.166666667</v>
      </c>
      <c r="AM35" s="156"/>
    </row>
    <row r="36" spans="1:43">
      <c r="A36" s="78" t="s">
        <v>100</v>
      </c>
      <c r="B36" s="104" t="s">
        <v>113</v>
      </c>
      <c r="C36" s="105"/>
      <c r="D36" s="73">
        <v>22600000</v>
      </c>
      <c r="E36" s="73"/>
      <c r="F36" s="73"/>
      <c r="G36" s="73"/>
      <c r="H36" s="73">
        <v>0</v>
      </c>
      <c r="I36" s="75">
        <f t="shared" si="24"/>
        <v>0</v>
      </c>
      <c r="J36" s="75">
        <f t="shared" si="25"/>
        <v>22600000</v>
      </c>
      <c r="K36" s="75">
        <f t="shared" si="26"/>
        <v>122040</v>
      </c>
      <c r="L36" s="75">
        <f t="shared" si="27"/>
        <v>480000</v>
      </c>
      <c r="M36" s="75">
        <f t="shared" si="28"/>
        <v>46404080</v>
      </c>
      <c r="N36" s="158"/>
      <c r="O36" s="75">
        <f t="shared" ref="O36:O46" si="38">+N36+O35</f>
        <v>22600000</v>
      </c>
      <c r="P36" s="75">
        <f t="shared" ref="P36:P46" si="39">M36+O36</f>
        <v>69004080</v>
      </c>
      <c r="Q36" s="75">
        <f>IF(5%*P36&gt;500000*2,500000*2,5%*P36)</f>
        <v>1000000</v>
      </c>
      <c r="R36" s="75">
        <f t="shared" si="29"/>
        <v>452000</v>
      </c>
      <c r="S36" s="75">
        <f t="shared" si="30"/>
        <v>90776</v>
      </c>
      <c r="T36" s="75">
        <f t="shared" ref="T36:T46" si="40">+R36+S36</f>
        <v>542776</v>
      </c>
      <c r="U36" s="75">
        <f t="shared" ref="U36:U46" si="41">+T36+U35</f>
        <v>1085552</v>
      </c>
      <c r="V36" s="75">
        <f t="shared" si="32"/>
        <v>2085552</v>
      </c>
      <c r="W36" s="75">
        <f t="shared" ref="W36:W46" si="42">P36-V36</f>
        <v>66918528</v>
      </c>
      <c r="X36" s="73">
        <f>W36*12/2</f>
        <v>401511168</v>
      </c>
      <c r="Y36" s="75">
        <v>0</v>
      </c>
      <c r="Z36" s="75">
        <f t="shared" si="33"/>
        <v>401511168</v>
      </c>
      <c r="AA36" s="73">
        <f t="shared" si="34"/>
        <v>63000000</v>
      </c>
      <c r="AB36" s="80">
        <f t="shared" si="35"/>
        <v>338511000</v>
      </c>
      <c r="AC36" s="75">
        <f t="shared" ref="AC36:AC46" si="43">IF(AB36&lt;=0,0,IF(AB36&lt;=60000000,0.05*AB36,IF(AB36&lt;=250000000,3000000+(AB36-60000000)*0.15,IF(AB36&lt;=500000000,31500000+(AB36-250000000)*0.25,IF(AB36&lt;=5000000000,94000000+(AB36-500000000)*0.3,IF(AB36&gt;5000000000,1444000000+(AB36-5000000000)*0.35))))))</f>
        <v>53627750</v>
      </c>
      <c r="AD36" s="81">
        <f>AC36*2/12</f>
        <v>8937958.333333334</v>
      </c>
      <c r="AE36" s="73">
        <f t="shared" ref="AE36:AE46" si="44">AD36-AD35</f>
        <v>1643979.166666667</v>
      </c>
      <c r="AF36" s="81">
        <f t="shared" ref="AF36:AF46" si="45">P36-P35</f>
        <v>23202040</v>
      </c>
      <c r="AG36" s="80">
        <f t="shared" si="36"/>
        <v>0</v>
      </c>
      <c r="AH36" s="99">
        <f t="shared" si="37"/>
        <v>120000</v>
      </c>
      <c r="AI36" s="82">
        <f t="shared" ref="AI36:AI46" si="46">D36+I36+N36-AE36-T36-AH36</f>
        <v>20293244.833333332</v>
      </c>
      <c r="AL36" s="83">
        <v>20000</v>
      </c>
      <c r="AM36" s="83"/>
    </row>
    <row r="37" spans="1:43">
      <c r="A37" s="78" t="s">
        <v>101</v>
      </c>
      <c r="B37" s="104" t="s">
        <v>113</v>
      </c>
      <c r="C37" s="105"/>
      <c r="D37" s="73">
        <v>22600000</v>
      </c>
      <c r="E37" s="73"/>
      <c r="F37" s="73"/>
      <c r="G37" s="73"/>
      <c r="H37" s="73">
        <v>0</v>
      </c>
      <c r="I37" s="75">
        <f t="shared" si="24"/>
        <v>0</v>
      </c>
      <c r="J37" s="75">
        <f t="shared" si="25"/>
        <v>22600000</v>
      </c>
      <c r="K37" s="75">
        <f t="shared" si="26"/>
        <v>122040</v>
      </c>
      <c r="L37" s="75">
        <f t="shared" si="27"/>
        <v>480000</v>
      </c>
      <c r="M37" s="75">
        <f t="shared" si="28"/>
        <v>69606120</v>
      </c>
      <c r="N37" s="158"/>
      <c r="O37" s="75">
        <f t="shared" si="38"/>
        <v>22600000</v>
      </c>
      <c r="P37" s="75">
        <f t="shared" si="39"/>
        <v>92206120</v>
      </c>
      <c r="Q37" s="75">
        <f>IF(5%*P37&gt;500000*3,500000*3,5%*P37)</f>
        <v>1500000</v>
      </c>
      <c r="R37" s="75">
        <f t="shared" si="29"/>
        <v>452000</v>
      </c>
      <c r="S37" s="75">
        <f t="shared" si="30"/>
        <v>90776</v>
      </c>
      <c r="T37" s="75">
        <f t="shared" si="40"/>
        <v>542776</v>
      </c>
      <c r="U37" s="75">
        <f t="shared" si="41"/>
        <v>1628328</v>
      </c>
      <c r="V37" s="75">
        <f t="shared" si="32"/>
        <v>3128328</v>
      </c>
      <c r="W37" s="75">
        <f t="shared" si="42"/>
        <v>89077792</v>
      </c>
      <c r="X37" s="73">
        <f>W37*12/3</f>
        <v>356311168</v>
      </c>
      <c r="Y37" s="75">
        <v>0</v>
      </c>
      <c r="Z37" s="75">
        <f t="shared" si="33"/>
        <v>356311168</v>
      </c>
      <c r="AA37" s="73">
        <f t="shared" si="34"/>
        <v>63000000</v>
      </c>
      <c r="AB37" s="80">
        <f t="shared" si="35"/>
        <v>293311000</v>
      </c>
      <c r="AC37" s="75">
        <f t="shared" si="43"/>
        <v>42327750</v>
      </c>
      <c r="AD37" s="81">
        <f>AC37*3/12</f>
        <v>10581937.5</v>
      </c>
      <c r="AE37" s="73">
        <f t="shared" si="44"/>
        <v>1643979.166666666</v>
      </c>
      <c r="AF37" s="81">
        <f t="shared" si="45"/>
        <v>23202040</v>
      </c>
      <c r="AG37" s="80">
        <f t="shared" si="36"/>
        <v>0</v>
      </c>
      <c r="AH37" s="99">
        <f t="shared" si="37"/>
        <v>120000</v>
      </c>
      <c r="AI37" s="82">
        <f t="shared" si="46"/>
        <v>20293244.833333336</v>
      </c>
      <c r="AL37" s="83">
        <v>300</v>
      </c>
      <c r="AM37" s="83"/>
    </row>
    <row r="38" spans="1:43">
      <c r="A38" s="78" t="s">
        <v>102</v>
      </c>
      <c r="B38" s="104" t="s">
        <v>113</v>
      </c>
      <c r="C38" s="105"/>
      <c r="D38" s="73">
        <v>22600000</v>
      </c>
      <c r="E38" s="73"/>
      <c r="F38" s="73"/>
      <c r="G38" s="73"/>
      <c r="H38" s="73">
        <v>0</v>
      </c>
      <c r="I38" s="75">
        <f t="shared" si="24"/>
        <v>0</v>
      </c>
      <c r="J38" s="75">
        <f t="shared" si="25"/>
        <v>22600000</v>
      </c>
      <c r="K38" s="75">
        <f t="shared" si="26"/>
        <v>122040</v>
      </c>
      <c r="L38" s="75">
        <f t="shared" si="27"/>
        <v>480000</v>
      </c>
      <c r="M38" s="75">
        <f t="shared" si="28"/>
        <v>92808160</v>
      </c>
      <c r="N38" s="158"/>
      <c r="O38" s="75">
        <f t="shared" si="38"/>
        <v>22600000</v>
      </c>
      <c r="P38" s="75">
        <f t="shared" si="39"/>
        <v>115408160</v>
      </c>
      <c r="Q38" s="75">
        <f>IF(5%*P38&gt;500000*4,500000*4,5%*P38)</f>
        <v>2000000</v>
      </c>
      <c r="R38" s="75">
        <f t="shared" si="29"/>
        <v>452000</v>
      </c>
      <c r="S38" s="75">
        <f t="shared" si="30"/>
        <v>90776</v>
      </c>
      <c r="T38" s="75">
        <f t="shared" si="40"/>
        <v>542776</v>
      </c>
      <c r="U38" s="75">
        <f t="shared" si="41"/>
        <v>2171104</v>
      </c>
      <c r="V38" s="75">
        <f t="shared" si="32"/>
        <v>4171104</v>
      </c>
      <c r="W38" s="75">
        <f t="shared" si="42"/>
        <v>111237056</v>
      </c>
      <c r="X38" s="73">
        <f>W38*12/4</f>
        <v>333711168</v>
      </c>
      <c r="Y38" s="75">
        <v>0</v>
      </c>
      <c r="Z38" s="75">
        <f t="shared" si="33"/>
        <v>333711168</v>
      </c>
      <c r="AA38" s="73">
        <f t="shared" si="34"/>
        <v>63000000</v>
      </c>
      <c r="AB38" s="80">
        <f t="shared" si="35"/>
        <v>270711000</v>
      </c>
      <c r="AC38" s="75">
        <f t="shared" si="43"/>
        <v>36677750</v>
      </c>
      <c r="AD38" s="81">
        <f>AC38*4/12</f>
        <v>12225916.666666666</v>
      </c>
      <c r="AE38" s="73">
        <f t="shared" si="44"/>
        <v>1643979.166666666</v>
      </c>
      <c r="AF38" s="81">
        <f t="shared" si="45"/>
        <v>23202040</v>
      </c>
      <c r="AG38" s="80">
        <f t="shared" si="36"/>
        <v>0</v>
      </c>
      <c r="AH38" s="99">
        <f t="shared" si="37"/>
        <v>120000</v>
      </c>
      <c r="AI38" s="82">
        <f t="shared" si="46"/>
        <v>20293244.833333336</v>
      </c>
      <c r="AL38" s="83">
        <v>650</v>
      </c>
      <c r="AM38" s="83"/>
    </row>
    <row r="39" spans="1:43">
      <c r="A39" s="78" t="s">
        <v>103</v>
      </c>
      <c r="B39" s="104" t="s">
        <v>113</v>
      </c>
      <c r="C39" s="105"/>
      <c r="D39" s="73">
        <v>22600000</v>
      </c>
      <c r="E39" s="73"/>
      <c r="F39" s="73"/>
      <c r="G39" s="73"/>
      <c r="H39" s="73">
        <v>0</v>
      </c>
      <c r="I39" s="75">
        <f t="shared" si="24"/>
        <v>0</v>
      </c>
      <c r="J39" s="75">
        <f t="shared" si="25"/>
        <v>22600000</v>
      </c>
      <c r="K39" s="75">
        <f t="shared" si="26"/>
        <v>122040</v>
      </c>
      <c r="L39" s="75">
        <f t="shared" si="27"/>
        <v>480000</v>
      </c>
      <c r="M39" s="75">
        <f t="shared" si="28"/>
        <v>116010200</v>
      </c>
      <c r="N39" s="158"/>
      <c r="O39" s="75">
        <f t="shared" si="38"/>
        <v>22600000</v>
      </c>
      <c r="P39" s="75">
        <f t="shared" si="39"/>
        <v>138610200</v>
      </c>
      <c r="Q39" s="75">
        <f>IF(5%*P39&gt;500000*5,500000*5,5%*P39)</f>
        <v>2500000</v>
      </c>
      <c r="R39" s="75">
        <f t="shared" si="29"/>
        <v>452000</v>
      </c>
      <c r="S39" s="75">
        <f t="shared" si="30"/>
        <v>90776</v>
      </c>
      <c r="T39" s="75">
        <f t="shared" si="40"/>
        <v>542776</v>
      </c>
      <c r="U39" s="75">
        <f t="shared" si="41"/>
        <v>2713880</v>
      </c>
      <c r="V39" s="75">
        <f t="shared" si="32"/>
        <v>5213880</v>
      </c>
      <c r="W39" s="75">
        <f t="shared" si="42"/>
        <v>133396320</v>
      </c>
      <c r="X39" s="73">
        <f>W39*12/5</f>
        <v>320151168</v>
      </c>
      <c r="Y39" s="75">
        <v>0</v>
      </c>
      <c r="Z39" s="75">
        <f t="shared" si="33"/>
        <v>320151168</v>
      </c>
      <c r="AA39" s="73">
        <f t="shared" si="34"/>
        <v>63000000</v>
      </c>
      <c r="AB39" s="80">
        <f t="shared" si="35"/>
        <v>257151000</v>
      </c>
      <c r="AC39" s="75">
        <f t="shared" si="43"/>
        <v>33287750</v>
      </c>
      <c r="AD39" s="81">
        <f>AC39*5/12</f>
        <v>13869895.833333334</v>
      </c>
      <c r="AE39" s="73">
        <f t="shared" si="44"/>
        <v>1643979.1666666679</v>
      </c>
      <c r="AF39" s="81">
        <f t="shared" si="45"/>
        <v>23202040</v>
      </c>
      <c r="AG39" s="80">
        <f t="shared" si="36"/>
        <v>0</v>
      </c>
      <c r="AH39" s="99">
        <f t="shared" si="37"/>
        <v>120000</v>
      </c>
      <c r="AI39" s="82">
        <f t="shared" si="46"/>
        <v>20293244.833333332</v>
      </c>
      <c r="AL39" s="83">
        <v>1500</v>
      </c>
      <c r="AM39" s="83"/>
      <c r="AO39" s="83"/>
      <c r="AP39" s="83"/>
      <c r="AQ39" s="83"/>
    </row>
    <row r="40" spans="1:43">
      <c r="A40" s="78" t="s">
        <v>104</v>
      </c>
      <c r="B40" s="104" t="s">
        <v>113</v>
      </c>
      <c r="C40" s="105"/>
      <c r="D40" s="73">
        <v>22600000</v>
      </c>
      <c r="E40" s="73"/>
      <c r="F40" s="73"/>
      <c r="G40" s="73"/>
      <c r="H40" s="73">
        <v>0</v>
      </c>
      <c r="I40" s="75">
        <f t="shared" si="24"/>
        <v>0</v>
      </c>
      <c r="J40" s="75">
        <f t="shared" si="25"/>
        <v>22600000</v>
      </c>
      <c r="K40" s="75">
        <f t="shared" si="26"/>
        <v>122040</v>
      </c>
      <c r="L40" s="75">
        <f t="shared" si="27"/>
        <v>480000</v>
      </c>
      <c r="M40" s="75">
        <f t="shared" si="28"/>
        <v>139212240</v>
      </c>
      <c r="N40" s="158"/>
      <c r="O40" s="75">
        <f t="shared" si="38"/>
        <v>22600000</v>
      </c>
      <c r="P40" s="75">
        <f t="shared" si="39"/>
        <v>161812240</v>
      </c>
      <c r="Q40" s="75">
        <f>IF(5%*P40&gt;500000*6,500000*6,5%*P40)</f>
        <v>3000000</v>
      </c>
      <c r="R40" s="75">
        <f t="shared" si="29"/>
        <v>452000</v>
      </c>
      <c r="S40" s="75">
        <f t="shared" si="30"/>
        <v>90776</v>
      </c>
      <c r="T40" s="75">
        <f t="shared" si="40"/>
        <v>542776</v>
      </c>
      <c r="U40" s="75">
        <f t="shared" si="41"/>
        <v>3256656</v>
      </c>
      <c r="V40" s="75">
        <f t="shared" si="32"/>
        <v>6256656</v>
      </c>
      <c r="W40" s="75">
        <f t="shared" si="42"/>
        <v>155555584</v>
      </c>
      <c r="X40" s="73">
        <f>W40*12/6</f>
        <v>311111168</v>
      </c>
      <c r="Y40" s="75">
        <v>0</v>
      </c>
      <c r="Z40" s="75">
        <f t="shared" si="33"/>
        <v>311111168</v>
      </c>
      <c r="AA40" s="73">
        <f t="shared" si="34"/>
        <v>63000000</v>
      </c>
      <c r="AB40" s="80">
        <f t="shared" si="35"/>
        <v>248111000</v>
      </c>
      <c r="AC40" s="75">
        <f t="shared" si="43"/>
        <v>31216650</v>
      </c>
      <c r="AD40" s="81">
        <f>AC40*6/12</f>
        <v>15608325</v>
      </c>
      <c r="AE40" s="73">
        <f t="shared" si="44"/>
        <v>1738429.166666666</v>
      </c>
      <c r="AF40" s="81">
        <f t="shared" si="45"/>
        <v>23202040</v>
      </c>
      <c r="AG40" s="80">
        <f t="shared" si="36"/>
        <v>0</v>
      </c>
      <c r="AH40" s="99">
        <f t="shared" si="37"/>
        <v>120000</v>
      </c>
      <c r="AI40" s="82">
        <f t="shared" si="46"/>
        <v>20198794.833333336</v>
      </c>
      <c r="AL40" s="84">
        <v>150</v>
      </c>
      <c r="AM40" s="83"/>
    </row>
    <row r="41" spans="1:43">
      <c r="A41" s="78" t="s">
        <v>105</v>
      </c>
      <c r="B41" s="104" t="s">
        <v>113</v>
      </c>
      <c r="C41" s="105"/>
      <c r="D41" s="73">
        <v>22600000</v>
      </c>
      <c r="E41" s="73"/>
      <c r="F41" s="73"/>
      <c r="G41" s="73"/>
      <c r="H41" s="73">
        <v>0</v>
      </c>
      <c r="I41" s="75">
        <f t="shared" si="24"/>
        <v>0</v>
      </c>
      <c r="J41" s="75">
        <f t="shared" si="25"/>
        <v>22600000</v>
      </c>
      <c r="K41" s="75">
        <f t="shared" si="26"/>
        <v>122040</v>
      </c>
      <c r="L41" s="75">
        <f t="shared" si="27"/>
        <v>480000</v>
      </c>
      <c r="M41" s="75">
        <f t="shared" si="28"/>
        <v>162414280</v>
      </c>
      <c r="N41" s="158"/>
      <c r="O41" s="75">
        <f t="shared" si="38"/>
        <v>22600000</v>
      </c>
      <c r="P41" s="75">
        <f t="shared" si="39"/>
        <v>185014280</v>
      </c>
      <c r="Q41" s="75">
        <f>IF(5%*P41&gt;500000*7,500000*7,5%*P41)</f>
        <v>3500000</v>
      </c>
      <c r="R41" s="75">
        <f t="shared" si="29"/>
        <v>452000</v>
      </c>
      <c r="S41" s="75">
        <f t="shared" si="30"/>
        <v>90776</v>
      </c>
      <c r="T41" s="75">
        <f t="shared" si="40"/>
        <v>542776</v>
      </c>
      <c r="U41" s="75">
        <f t="shared" si="41"/>
        <v>3799432</v>
      </c>
      <c r="V41" s="75">
        <f t="shared" si="32"/>
        <v>7299432</v>
      </c>
      <c r="W41" s="75">
        <f t="shared" si="42"/>
        <v>177714848</v>
      </c>
      <c r="X41" s="73">
        <f>W41*12/7</f>
        <v>304654025.14285713</v>
      </c>
      <c r="Y41" s="75">
        <v>0</v>
      </c>
      <c r="Z41" s="75">
        <f t="shared" si="33"/>
        <v>304654025.14285713</v>
      </c>
      <c r="AA41" s="73">
        <f t="shared" si="34"/>
        <v>63000000</v>
      </c>
      <c r="AB41" s="80">
        <f t="shared" si="35"/>
        <v>241654000</v>
      </c>
      <c r="AC41" s="75">
        <f t="shared" si="43"/>
        <v>30248100</v>
      </c>
      <c r="AD41" s="81">
        <f>AC41*7/12</f>
        <v>17644725</v>
      </c>
      <c r="AE41" s="73">
        <f t="shared" si="44"/>
        <v>2036400</v>
      </c>
      <c r="AF41" s="81">
        <f t="shared" si="45"/>
        <v>23202040</v>
      </c>
      <c r="AG41" s="80">
        <f t="shared" si="36"/>
        <v>0</v>
      </c>
      <c r="AH41" s="99">
        <f t="shared" si="37"/>
        <v>120000</v>
      </c>
      <c r="AI41" s="82">
        <f t="shared" si="46"/>
        <v>19900824</v>
      </c>
      <c r="AL41" s="84"/>
      <c r="AM41" s="83"/>
    </row>
    <row r="42" spans="1:43">
      <c r="A42" s="78" t="s">
        <v>106</v>
      </c>
      <c r="B42" s="104" t="s">
        <v>113</v>
      </c>
      <c r="C42" s="105"/>
      <c r="D42" s="73">
        <v>22600000</v>
      </c>
      <c r="E42" s="73"/>
      <c r="F42" s="73"/>
      <c r="G42" s="73"/>
      <c r="H42" s="73">
        <v>0</v>
      </c>
      <c r="I42" s="75">
        <f t="shared" si="24"/>
        <v>0</v>
      </c>
      <c r="J42" s="75">
        <f t="shared" si="25"/>
        <v>22600000</v>
      </c>
      <c r="K42" s="75">
        <f t="shared" si="26"/>
        <v>122040</v>
      </c>
      <c r="L42" s="75">
        <f t="shared" si="27"/>
        <v>480000</v>
      </c>
      <c r="M42" s="75">
        <f t="shared" si="28"/>
        <v>185616320</v>
      </c>
      <c r="N42" s="158"/>
      <c r="O42" s="75">
        <f t="shared" si="38"/>
        <v>22600000</v>
      </c>
      <c r="P42" s="75">
        <f t="shared" si="39"/>
        <v>208216320</v>
      </c>
      <c r="Q42" s="75">
        <f>IF(5%*P42&gt;500000*8,500000*8,5%*P42)</f>
        <v>4000000</v>
      </c>
      <c r="R42" s="75">
        <f t="shared" si="29"/>
        <v>452000</v>
      </c>
      <c r="S42" s="75">
        <f t="shared" si="30"/>
        <v>90776</v>
      </c>
      <c r="T42" s="75">
        <f t="shared" si="40"/>
        <v>542776</v>
      </c>
      <c r="U42" s="75">
        <f t="shared" si="41"/>
        <v>4342208</v>
      </c>
      <c r="V42" s="75">
        <f t="shared" si="32"/>
        <v>8342208</v>
      </c>
      <c r="W42" s="75">
        <f t="shared" si="42"/>
        <v>199874112</v>
      </c>
      <c r="X42" s="73">
        <f>W42*12/8</f>
        <v>299811168</v>
      </c>
      <c r="Y42" s="75">
        <v>0</v>
      </c>
      <c r="Z42" s="75">
        <f t="shared" si="33"/>
        <v>299811168</v>
      </c>
      <c r="AA42" s="73">
        <f t="shared" si="34"/>
        <v>63000000</v>
      </c>
      <c r="AB42" s="80">
        <f t="shared" si="35"/>
        <v>236811000</v>
      </c>
      <c r="AC42" s="75">
        <f t="shared" si="43"/>
        <v>29521650</v>
      </c>
      <c r="AD42" s="81">
        <f>AC42*8/12</f>
        <v>19681100</v>
      </c>
      <c r="AE42" s="73">
        <f t="shared" si="44"/>
        <v>2036375</v>
      </c>
      <c r="AF42" s="81">
        <f t="shared" si="45"/>
        <v>23202040</v>
      </c>
      <c r="AG42" s="80">
        <f t="shared" si="36"/>
        <v>0</v>
      </c>
      <c r="AH42" s="99">
        <f t="shared" si="37"/>
        <v>120000</v>
      </c>
      <c r="AI42" s="82">
        <f t="shared" si="46"/>
        <v>19900849</v>
      </c>
      <c r="AL42" s="84"/>
      <c r="AM42" s="83"/>
    </row>
    <row r="43" spans="1:43">
      <c r="A43" s="78" t="s">
        <v>107</v>
      </c>
      <c r="B43" s="104" t="s">
        <v>113</v>
      </c>
      <c r="C43" s="105"/>
      <c r="D43" s="73">
        <v>22600000</v>
      </c>
      <c r="E43" s="73"/>
      <c r="F43" s="73"/>
      <c r="G43" s="73"/>
      <c r="H43" s="73">
        <v>0</v>
      </c>
      <c r="I43" s="75">
        <f t="shared" si="24"/>
        <v>0</v>
      </c>
      <c r="J43" s="75">
        <f t="shared" si="25"/>
        <v>22600000</v>
      </c>
      <c r="K43" s="75">
        <f t="shared" si="26"/>
        <v>122040</v>
      </c>
      <c r="L43" s="75">
        <f t="shared" si="27"/>
        <v>480000</v>
      </c>
      <c r="M43" s="75">
        <f t="shared" si="28"/>
        <v>208818360</v>
      </c>
      <c r="N43" s="158"/>
      <c r="O43" s="75">
        <f t="shared" si="38"/>
        <v>22600000</v>
      </c>
      <c r="P43" s="75">
        <f t="shared" si="39"/>
        <v>231418360</v>
      </c>
      <c r="Q43" s="75">
        <f>IF(5%*P43&gt;500000*9,500000*9,5%*P43)</f>
        <v>4500000</v>
      </c>
      <c r="R43" s="75">
        <f t="shared" si="29"/>
        <v>452000</v>
      </c>
      <c r="S43" s="75">
        <f t="shared" si="30"/>
        <v>90776</v>
      </c>
      <c r="T43" s="75">
        <f t="shared" si="40"/>
        <v>542776</v>
      </c>
      <c r="U43" s="75">
        <f t="shared" si="41"/>
        <v>4884984</v>
      </c>
      <c r="V43" s="75">
        <f t="shared" si="32"/>
        <v>9384984</v>
      </c>
      <c r="W43" s="75">
        <f t="shared" si="42"/>
        <v>222033376</v>
      </c>
      <c r="X43" s="73">
        <f>W43*12/9</f>
        <v>296044501.33333331</v>
      </c>
      <c r="Y43" s="75">
        <v>0</v>
      </c>
      <c r="Z43" s="75">
        <f t="shared" si="33"/>
        <v>296044501.33333331</v>
      </c>
      <c r="AA43" s="73">
        <f t="shared" si="34"/>
        <v>63000000</v>
      </c>
      <c r="AB43" s="80">
        <f t="shared" si="35"/>
        <v>233044000</v>
      </c>
      <c r="AC43" s="75">
        <f t="shared" si="43"/>
        <v>28956600</v>
      </c>
      <c r="AD43" s="81">
        <f>AC43*9/12</f>
        <v>21717450</v>
      </c>
      <c r="AE43" s="73">
        <f t="shared" si="44"/>
        <v>2036350</v>
      </c>
      <c r="AF43" s="81">
        <f t="shared" si="45"/>
        <v>23202040</v>
      </c>
      <c r="AG43" s="80">
        <f t="shared" si="36"/>
        <v>0</v>
      </c>
      <c r="AH43" s="99">
        <f t="shared" si="37"/>
        <v>120000</v>
      </c>
      <c r="AI43" s="82">
        <f t="shared" si="46"/>
        <v>19900874</v>
      </c>
    </row>
    <row r="44" spans="1:43">
      <c r="A44" s="78" t="s">
        <v>108</v>
      </c>
      <c r="B44" s="104" t="s">
        <v>113</v>
      </c>
      <c r="C44" s="105"/>
      <c r="D44" s="73">
        <v>22600000</v>
      </c>
      <c r="E44" s="73"/>
      <c r="F44" s="73"/>
      <c r="G44" s="73"/>
      <c r="H44" s="73">
        <v>0</v>
      </c>
      <c r="I44" s="75">
        <f t="shared" si="24"/>
        <v>0</v>
      </c>
      <c r="J44" s="75">
        <f t="shared" si="25"/>
        <v>22600000</v>
      </c>
      <c r="K44" s="75">
        <f t="shared" si="26"/>
        <v>122040</v>
      </c>
      <c r="L44" s="75">
        <f t="shared" si="27"/>
        <v>480000</v>
      </c>
      <c r="M44" s="75">
        <f t="shared" si="28"/>
        <v>232020400</v>
      </c>
      <c r="N44" s="158"/>
      <c r="O44" s="75">
        <f t="shared" si="38"/>
        <v>22600000</v>
      </c>
      <c r="P44" s="75">
        <f t="shared" si="39"/>
        <v>254620400</v>
      </c>
      <c r="Q44" s="75">
        <f>IF(5%*P44&gt;500000*10,500000*10,5%*P44)</f>
        <v>5000000</v>
      </c>
      <c r="R44" s="75">
        <f t="shared" si="29"/>
        <v>452000</v>
      </c>
      <c r="S44" s="75">
        <f t="shared" si="30"/>
        <v>90776</v>
      </c>
      <c r="T44" s="75">
        <f t="shared" si="40"/>
        <v>542776</v>
      </c>
      <c r="U44" s="75">
        <f t="shared" si="41"/>
        <v>5427760</v>
      </c>
      <c r="V44" s="75">
        <f t="shared" si="32"/>
        <v>10427760</v>
      </c>
      <c r="W44" s="75">
        <f t="shared" si="42"/>
        <v>244192640</v>
      </c>
      <c r="X44" s="73">
        <f>W44*12/10</f>
        <v>293031168</v>
      </c>
      <c r="Y44" s="75">
        <v>0</v>
      </c>
      <c r="Z44" s="75">
        <f t="shared" si="33"/>
        <v>293031168</v>
      </c>
      <c r="AA44" s="73">
        <f t="shared" si="34"/>
        <v>63000000</v>
      </c>
      <c r="AB44" s="80">
        <f t="shared" si="35"/>
        <v>230031000</v>
      </c>
      <c r="AC44" s="75">
        <f t="shared" si="43"/>
        <v>28504650</v>
      </c>
      <c r="AD44" s="81">
        <f>AC44*10/12</f>
        <v>23753875</v>
      </c>
      <c r="AE44" s="73">
        <f t="shared" si="44"/>
        <v>2036425</v>
      </c>
      <c r="AF44" s="81">
        <f t="shared" si="45"/>
        <v>23202040</v>
      </c>
      <c r="AG44" s="80">
        <f t="shared" si="36"/>
        <v>0</v>
      </c>
      <c r="AH44" s="99">
        <f t="shared" si="37"/>
        <v>120000</v>
      </c>
      <c r="AI44" s="82">
        <f t="shared" si="46"/>
        <v>19900799</v>
      </c>
    </row>
    <row r="45" spans="1:43">
      <c r="A45" s="78" t="s">
        <v>109</v>
      </c>
      <c r="B45" s="104" t="s">
        <v>113</v>
      </c>
      <c r="C45" s="105"/>
      <c r="D45" s="73">
        <v>22600000</v>
      </c>
      <c r="E45" s="73"/>
      <c r="F45" s="73"/>
      <c r="G45" s="73"/>
      <c r="H45" s="73">
        <v>0</v>
      </c>
      <c r="I45" s="75">
        <f t="shared" si="24"/>
        <v>0</v>
      </c>
      <c r="J45" s="75">
        <f t="shared" si="25"/>
        <v>22600000</v>
      </c>
      <c r="K45" s="75">
        <f t="shared" si="26"/>
        <v>122040</v>
      </c>
      <c r="L45" s="75">
        <f t="shared" si="27"/>
        <v>480000</v>
      </c>
      <c r="M45" s="75">
        <f t="shared" si="28"/>
        <v>255222440</v>
      </c>
      <c r="N45" s="158"/>
      <c r="O45" s="75">
        <f t="shared" si="38"/>
        <v>22600000</v>
      </c>
      <c r="P45" s="75">
        <f t="shared" si="39"/>
        <v>277822440</v>
      </c>
      <c r="Q45" s="75">
        <f>IF(5%*P45&gt;500000*11,500000*11,5%*P45)</f>
        <v>5500000</v>
      </c>
      <c r="R45" s="75">
        <f t="shared" si="29"/>
        <v>452000</v>
      </c>
      <c r="S45" s="75">
        <f t="shared" si="30"/>
        <v>90776</v>
      </c>
      <c r="T45" s="75">
        <f t="shared" si="40"/>
        <v>542776</v>
      </c>
      <c r="U45" s="75">
        <f t="shared" si="41"/>
        <v>5970536</v>
      </c>
      <c r="V45" s="75">
        <f t="shared" si="32"/>
        <v>11470536</v>
      </c>
      <c r="W45" s="75">
        <f t="shared" si="42"/>
        <v>266351904</v>
      </c>
      <c r="X45" s="73">
        <f>W45*12/11</f>
        <v>290565713.45454544</v>
      </c>
      <c r="Y45" s="75">
        <v>0</v>
      </c>
      <c r="Z45" s="75">
        <f t="shared" si="33"/>
        <v>290565713.45454544</v>
      </c>
      <c r="AA45" s="73">
        <f t="shared" si="34"/>
        <v>63000000</v>
      </c>
      <c r="AB45" s="80">
        <f t="shared" si="35"/>
        <v>227565000</v>
      </c>
      <c r="AC45" s="75">
        <f t="shared" si="43"/>
        <v>28134750</v>
      </c>
      <c r="AD45" s="81">
        <f>AC45*11/12</f>
        <v>25790187.5</v>
      </c>
      <c r="AE45" s="73">
        <f t="shared" si="44"/>
        <v>2036312.5</v>
      </c>
      <c r="AF45" s="81">
        <f t="shared" si="45"/>
        <v>23202040</v>
      </c>
      <c r="AG45" s="80">
        <f t="shared" si="36"/>
        <v>0</v>
      </c>
      <c r="AH45" s="99">
        <f t="shared" si="37"/>
        <v>120000</v>
      </c>
      <c r="AI45" s="82">
        <f t="shared" si="46"/>
        <v>19900911.5</v>
      </c>
    </row>
    <row r="46" spans="1:43">
      <c r="A46" s="85" t="s">
        <v>110</v>
      </c>
      <c r="B46" s="104" t="s">
        <v>113</v>
      </c>
      <c r="C46" s="105"/>
      <c r="D46" s="73">
        <v>22600000</v>
      </c>
      <c r="E46" s="73"/>
      <c r="F46" s="73"/>
      <c r="G46" s="73"/>
      <c r="H46" s="73">
        <v>0</v>
      </c>
      <c r="I46" s="75">
        <f t="shared" si="24"/>
        <v>0</v>
      </c>
      <c r="J46" s="75">
        <f t="shared" si="25"/>
        <v>22600000</v>
      </c>
      <c r="K46" s="75">
        <f t="shared" si="26"/>
        <v>122040</v>
      </c>
      <c r="L46" s="75">
        <f t="shared" si="27"/>
        <v>480000</v>
      </c>
      <c r="M46" s="75">
        <f t="shared" si="28"/>
        <v>278424480</v>
      </c>
      <c r="N46" s="158"/>
      <c r="O46" s="75">
        <f t="shared" si="38"/>
        <v>22600000</v>
      </c>
      <c r="P46" s="75">
        <f t="shared" si="39"/>
        <v>301024480</v>
      </c>
      <c r="Q46" s="75">
        <f>IF(5%*P46&gt;500000*12,500000*12,5%*P46)</f>
        <v>6000000</v>
      </c>
      <c r="R46" s="75">
        <f t="shared" si="29"/>
        <v>452000</v>
      </c>
      <c r="S46" s="75">
        <f t="shared" si="30"/>
        <v>90776</v>
      </c>
      <c r="T46" s="75">
        <f t="shared" si="40"/>
        <v>542776</v>
      </c>
      <c r="U46" s="75">
        <f t="shared" si="41"/>
        <v>6513312</v>
      </c>
      <c r="V46" s="75">
        <f t="shared" si="32"/>
        <v>12513312</v>
      </c>
      <c r="W46" s="75">
        <f t="shared" si="42"/>
        <v>288511168</v>
      </c>
      <c r="X46" s="73">
        <f>W46*12/12</f>
        <v>288511168</v>
      </c>
      <c r="Y46" s="75">
        <v>0</v>
      </c>
      <c r="Z46" s="75">
        <f t="shared" si="33"/>
        <v>288511168</v>
      </c>
      <c r="AA46" s="73">
        <f t="shared" si="34"/>
        <v>63000000</v>
      </c>
      <c r="AB46" s="80">
        <f t="shared" si="35"/>
        <v>225511000</v>
      </c>
      <c r="AC46" s="75">
        <f t="shared" si="43"/>
        <v>27826650</v>
      </c>
      <c r="AD46" s="81">
        <f>AC46*12/12</f>
        <v>27826650</v>
      </c>
      <c r="AE46" s="73">
        <f t="shared" si="44"/>
        <v>2036462.5</v>
      </c>
      <c r="AF46" s="81">
        <f t="shared" si="45"/>
        <v>23202040</v>
      </c>
      <c r="AG46" s="80">
        <f t="shared" si="36"/>
        <v>0</v>
      </c>
      <c r="AH46" s="99">
        <f t="shared" si="37"/>
        <v>120000</v>
      </c>
      <c r="AI46" s="82">
        <f t="shared" si="46"/>
        <v>19900761.5</v>
      </c>
    </row>
    <row r="47" spans="1:43" ht="13.5" thickBot="1">
      <c r="A47" s="86" t="s">
        <v>111</v>
      </c>
      <c r="B47" s="86"/>
      <c r="C47" s="86"/>
      <c r="D47" s="87">
        <f t="shared" ref="D47:J47" si="47">SUM(D35:D46)</f>
        <v>271200000</v>
      </c>
      <c r="E47" s="87"/>
      <c r="F47" s="87">
        <f t="shared" si="47"/>
        <v>0</v>
      </c>
      <c r="G47" s="87">
        <f t="shared" si="47"/>
        <v>0</v>
      </c>
      <c r="H47" s="87">
        <f t="shared" si="47"/>
        <v>0</v>
      </c>
      <c r="I47" s="87">
        <f t="shared" si="47"/>
        <v>0</v>
      </c>
      <c r="J47" s="87">
        <f t="shared" si="47"/>
        <v>271200000</v>
      </c>
      <c r="K47" s="87">
        <f>SUM(K35:K46)</f>
        <v>1464480</v>
      </c>
      <c r="L47" s="87">
        <f>SUM(L35:L46)</f>
        <v>5760000</v>
      </c>
      <c r="M47" s="87">
        <f>+D47+I47+K47+L47</f>
        <v>278424480</v>
      </c>
      <c r="N47" s="87">
        <f>SUM(N35:N46)</f>
        <v>22600000</v>
      </c>
      <c r="O47" s="87">
        <f>+O46</f>
        <v>22600000</v>
      </c>
      <c r="P47" s="87">
        <f>+M47+O47</f>
        <v>301024480</v>
      </c>
      <c r="Q47" s="88">
        <f>Q46</f>
        <v>6000000</v>
      </c>
      <c r="R47" s="87">
        <f>SUM(R35:R46)</f>
        <v>5424000</v>
      </c>
      <c r="S47" s="87">
        <f>SUM(S35:S46)</f>
        <v>1089312</v>
      </c>
      <c r="T47" s="87">
        <f>SUM(T35:T46)</f>
        <v>6513312</v>
      </c>
      <c r="U47" s="88">
        <f>+U46</f>
        <v>6513312</v>
      </c>
      <c r="V47" s="88">
        <f t="shared" si="32"/>
        <v>12513312</v>
      </c>
      <c r="W47" s="88">
        <f>P47-V47</f>
        <v>288511168</v>
      </c>
      <c r="X47" s="88">
        <f>X46</f>
        <v>288511168</v>
      </c>
      <c r="Y47" s="88">
        <f>+Y46</f>
        <v>0</v>
      </c>
      <c r="Z47" s="88">
        <f>SUM(X47:Y47)</f>
        <v>288511168</v>
      </c>
      <c r="AA47" s="88">
        <f>AA46</f>
        <v>63000000</v>
      </c>
      <c r="AB47" s="89">
        <f>ROUNDDOWN(Z47-AA47,-3)</f>
        <v>225511000</v>
      </c>
      <c r="AC47" s="87">
        <f>IF(AB47&lt;=0,0,IF(AB47&lt;=50000000,0.05*AB47,IF(AB47&lt;=250000000,2500000+(AB47-50000000)*0.15,IF(AB47&lt;=500000000,32500000+(AB47-250000000)*0.25,IF(AB47&gt;500000000,95000000+(AB47-500000000)*0.3)))))</f>
        <v>28826650</v>
      </c>
      <c r="AD47" s="89">
        <f>AC47*12/12</f>
        <v>28826650</v>
      </c>
      <c r="AE47" s="88">
        <f>SUM(AE35:AE46)</f>
        <v>27826650</v>
      </c>
      <c r="AF47" s="90">
        <f>SUM(AF35:AF46)</f>
        <v>301024480</v>
      </c>
      <c r="AG47" s="89">
        <f>SUM(AG35:AG46)</f>
        <v>0</v>
      </c>
      <c r="AH47" s="89"/>
      <c r="AI47" s="91"/>
      <c r="AL47" s="84"/>
      <c r="AM47" s="83"/>
    </row>
    <row r="48" spans="1:43" ht="13.5" thickTop="1"/>
    <row r="50" spans="1:43">
      <c r="A50" s="60" t="s">
        <v>70</v>
      </c>
      <c r="D50" s="62"/>
      <c r="E50" s="62"/>
      <c r="F50" s="61"/>
    </row>
    <row r="51" spans="1:43">
      <c r="A51" s="60" t="s">
        <v>112</v>
      </c>
      <c r="B51" s="64"/>
      <c r="C51" s="64"/>
      <c r="F51" s="65"/>
      <c r="G51" s="65"/>
    </row>
    <row r="52" spans="1:43">
      <c r="A52" s="66" t="s">
        <v>121</v>
      </c>
      <c r="B52" s="67"/>
      <c r="C52" s="68"/>
      <c r="AE52" s="69"/>
    </row>
    <row r="53" spans="1:43">
      <c r="A53" s="125"/>
      <c r="B53" s="67"/>
      <c r="C53" s="68"/>
      <c r="AE53" s="68"/>
    </row>
    <row r="54" spans="1:43">
      <c r="A54" s="125"/>
      <c r="B54" s="67"/>
      <c r="C54" s="68"/>
      <c r="AE54" s="68"/>
    </row>
    <row r="55" spans="1:43" s="184" customFormat="1">
      <c r="A55" s="180" t="s">
        <v>259</v>
      </c>
      <c r="B55" s="181"/>
      <c r="C55" s="182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83"/>
      <c r="U55" s="183"/>
      <c r="V55" s="183"/>
      <c r="W55" s="183"/>
      <c r="X55" s="183"/>
      <c r="Y55" s="183"/>
      <c r="Z55" s="183"/>
      <c r="AA55" s="183"/>
      <c r="AC55" s="183"/>
      <c r="AE55" s="182"/>
    </row>
    <row r="56" spans="1:43" ht="13.5" thickBot="1">
      <c r="A56" s="128"/>
      <c r="B56" s="67"/>
      <c r="C56" s="68"/>
      <c r="AE56" s="68"/>
    </row>
    <row r="57" spans="1:43" ht="27.75" customHeight="1" thickBot="1">
      <c r="A57" s="256" t="s">
        <v>71</v>
      </c>
      <c r="B57" s="256" t="s">
        <v>72</v>
      </c>
      <c r="C57" s="256" t="s">
        <v>73</v>
      </c>
      <c r="D57" s="252" t="s">
        <v>114</v>
      </c>
      <c r="E57" s="252" t="s">
        <v>260</v>
      </c>
      <c r="F57" s="258" t="s">
        <v>123</v>
      </c>
      <c r="G57" s="258"/>
      <c r="H57" s="258"/>
      <c r="I57" s="252" t="s">
        <v>124</v>
      </c>
      <c r="J57" s="252" t="s">
        <v>118</v>
      </c>
      <c r="K57" s="254" t="s">
        <v>119</v>
      </c>
      <c r="L57" s="255"/>
      <c r="M57" s="264" t="s">
        <v>75</v>
      </c>
      <c r="N57" s="264" t="s">
        <v>76</v>
      </c>
      <c r="O57" s="264" t="s">
        <v>77</v>
      </c>
      <c r="P57" s="264" t="s">
        <v>78</v>
      </c>
      <c r="Q57" s="268" t="s">
        <v>79</v>
      </c>
      <c r="R57" s="266" t="s">
        <v>117</v>
      </c>
      <c r="S57" s="267"/>
      <c r="T57" s="100"/>
      <c r="U57" s="264" t="s">
        <v>80</v>
      </c>
      <c r="V57" s="264" t="s">
        <v>81</v>
      </c>
      <c r="W57" s="264" t="s">
        <v>82</v>
      </c>
      <c r="X57" s="261" t="s">
        <v>83</v>
      </c>
      <c r="Y57" s="262"/>
      <c r="Z57" s="262"/>
      <c r="AA57" s="262"/>
      <c r="AB57" s="262"/>
      <c r="AC57" s="263"/>
      <c r="AD57" s="264" t="s">
        <v>84</v>
      </c>
      <c r="AE57" s="264" t="s">
        <v>85</v>
      </c>
      <c r="AF57" s="259" t="s">
        <v>86</v>
      </c>
      <c r="AG57" s="259" t="s">
        <v>87</v>
      </c>
      <c r="AH57" s="70"/>
      <c r="AI57" s="259" t="s">
        <v>88</v>
      </c>
    </row>
    <row r="58" spans="1:43" ht="57" customHeight="1">
      <c r="A58" s="257"/>
      <c r="B58" s="257"/>
      <c r="C58" s="257"/>
      <c r="D58" s="253"/>
      <c r="E58" s="253"/>
      <c r="F58" s="102" t="s">
        <v>89</v>
      </c>
      <c r="G58" s="102" t="s">
        <v>122</v>
      </c>
      <c r="H58" s="102" t="s">
        <v>74</v>
      </c>
      <c r="I58" s="253"/>
      <c r="J58" s="253"/>
      <c r="K58" s="103" t="s">
        <v>90</v>
      </c>
      <c r="L58" s="103" t="s">
        <v>91</v>
      </c>
      <c r="M58" s="265"/>
      <c r="N58" s="265"/>
      <c r="O58" s="265"/>
      <c r="P58" s="265"/>
      <c r="Q58" s="265"/>
      <c r="R58" s="101" t="s">
        <v>115</v>
      </c>
      <c r="S58" s="101" t="s">
        <v>116</v>
      </c>
      <c r="T58" s="101" t="s">
        <v>125</v>
      </c>
      <c r="U58" s="265"/>
      <c r="V58" s="265"/>
      <c r="W58" s="265"/>
      <c r="X58" s="71" t="s">
        <v>92</v>
      </c>
      <c r="Y58" s="71" t="s">
        <v>93</v>
      </c>
      <c r="Z58" s="71" t="s">
        <v>94</v>
      </c>
      <c r="AA58" s="71" t="s">
        <v>95</v>
      </c>
      <c r="AB58" s="71" t="s">
        <v>96</v>
      </c>
      <c r="AC58" s="71" t="s">
        <v>97</v>
      </c>
      <c r="AD58" s="265"/>
      <c r="AE58" s="265"/>
      <c r="AF58" s="260"/>
      <c r="AG58" s="260"/>
      <c r="AH58" s="72" t="s">
        <v>98</v>
      </c>
      <c r="AI58" s="260"/>
    </row>
    <row r="59" spans="1:43">
      <c r="A59" s="67"/>
      <c r="B59" s="67"/>
      <c r="C59" s="67"/>
      <c r="D59" s="73"/>
      <c r="E59" s="74"/>
      <c r="F59" s="74"/>
      <c r="G59" s="73"/>
      <c r="H59" s="75"/>
      <c r="I59" s="75"/>
      <c r="J59" s="75"/>
      <c r="K59" s="75"/>
      <c r="L59" s="75"/>
      <c r="M59" s="75"/>
      <c r="N59" s="75"/>
      <c r="O59" s="75"/>
      <c r="P59" s="73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6"/>
      <c r="AG59" s="77"/>
      <c r="AH59" s="77"/>
      <c r="AI59" s="76"/>
    </row>
    <row r="60" spans="1:43" s="143" customFormat="1">
      <c r="A60" s="133" t="s">
        <v>99</v>
      </c>
      <c r="B60" s="134" t="s">
        <v>113</v>
      </c>
      <c r="C60" s="135"/>
      <c r="D60" s="136">
        <f>22600000</f>
        <v>22600000</v>
      </c>
      <c r="E60" s="136"/>
      <c r="F60" s="136">
        <v>3000000</v>
      </c>
      <c r="G60" s="137">
        <v>300000</v>
      </c>
      <c r="H60" s="136">
        <v>250000</v>
      </c>
      <c r="I60" s="138">
        <f t="shared" ref="I60:I71" si="48">SUM(F60:H60)</f>
        <v>3550000</v>
      </c>
      <c r="J60" s="138">
        <f t="shared" ref="J60:J71" si="49">+D60+I60</f>
        <v>26150000</v>
      </c>
      <c r="K60" s="138">
        <f t="shared" ref="K60:K71" si="50">(0.24%*D60)+(D60*0.3%)</f>
        <v>122040</v>
      </c>
      <c r="L60" s="139">
        <f t="shared" ref="L60:L71" si="51">IF(D60&gt;=12000000,12000000*4%,D60*4%)</f>
        <v>480000</v>
      </c>
      <c r="M60" s="138">
        <f t="shared" ref="M60:M71" si="52">+D60+I60+K60+L60+M59</f>
        <v>26752040</v>
      </c>
      <c r="N60" s="136">
        <v>0</v>
      </c>
      <c r="O60" s="138">
        <f>+N60+O59</f>
        <v>0</v>
      </c>
      <c r="P60" s="138">
        <f>M60+O60</f>
        <v>26752040</v>
      </c>
      <c r="Q60" s="138">
        <f>IF(5%*P60&gt;500000*1,500000*1,5%*P60)</f>
        <v>500000</v>
      </c>
      <c r="R60" s="138">
        <f t="shared" ref="R60:R71" si="53">(D60*2%)</f>
        <v>452000</v>
      </c>
      <c r="S60" s="138">
        <f t="shared" ref="S60:S71" si="54">IF(D60&gt;=9077600,9077600*1%,D60*1%)</f>
        <v>90776</v>
      </c>
      <c r="T60" s="138">
        <f>+R60+S60</f>
        <v>542776</v>
      </c>
      <c r="U60" s="138">
        <f t="shared" ref="U60" si="55">+R60+S60+U59</f>
        <v>542776</v>
      </c>
      <c r="V60" s="138">
        <f t="shared" ref="V60:V72" si="56">+Q60+U60</f>
        <v>1042776</v>
      </c>
      <c r="W60" s="138">
        <f>P60-V60</f>
        <v>25709264</v>
      </c>
      <c r="X60" s="136">
        <f>W60*12/1</f>
        <v>308511168</v>
      </c>
      <c r="Y60" s="138">
        <v>0</v>
      </c>
      <c r="Z60" s="138">
        <f t="shared" ref="Z60:Z71" si="57">SUM(X60:Y60)</f>
        <v>308511168</v>
      </c>
      <c r="AA60" s="136">
        <f t="shared" ref="AA60:AA71" si="58">IF(B60="S/0",54000000,IF(B60="S/1",58500000,IF(B60="M/0",58500000,IF(B60="M/1",63000000,IF(B60="M/2",67500000,IF(B60="M/3",72000000))))))</f>
        <v>63000000</v>
      </c>
      <c r="AB60" s="140">
        <f t="shared" ref="AB60:AB71" si="59">ROUNDDOWN(Z60-AA60,-3)</f>
        <v>245511000</v>
      </c>
      <c r="AC60" s="138">
        <f>IF(AB60&lt;=0,0,IF(AB60&lt;=60000000,0.05*AB60,IF(AB60&lt;=250000000,3000000+(AB60-60000000)*0.15,IF(AB60&lt;=500000000,31500000+(AB60-250000000)*0.25,IF(AB60&lt;=5000000000,94000000+(AB60-500000000)*0.3,IF(AB60&gt;5000000000,1444000000+(AB60-5000000000)*0.35))))))</f>
        <v>30826650</v>
      </c>
      <c r="AD60" s="141">
        <f>AC60*1/12</f>
        <v>2568887.5</v>
      </c>
      <c r="AE60" s="136">
        <f>AD60-AD59</f>
        <v>2568887.5</v>
      </c>
      <c r="AF60" s="141">
        <f>P60-P59</f>
        <v>26752040</v>
      </c>
      <c r="AG60" s="140">
        <f t="shared" ref="AG60:AG71" si="60">+P60-AF60-P59</f>
        <v>0</v>
      </c>
      <c r="AH60" s="139">
        <f t="shared" ref="AH60:AH71" si="61">IF(D60&gt;=12000000,12000000*1%,D60*1%)</f>
        <v>120000</v>
      </c>
      <c r="AI60" s="142">
        <f>D60+I60+N60-AE60-T60-AH60</f>
        <v>22918336.5</v>
      </c>
      <c r="AL60" s="144">
        <v>7293979.166666667</v>
      </c>
      <c r="AM60" s="144"/>
    </row>
    <row r="61" spans="1:43">
      <c r="A61" s="78" t="s">
        <v>100</v>
      </c>
      <c r="B61" s="104" t="s">
        <v>113</v>
      </c>
      <c r="C61" s="105"/>
      <c r="D61" s="73">
        <v>22600000</v>
      </c>
      <c r="E61" s="73"/>
      <c r="F61" s="73"/>
      <c r="G61" s="73"/>
      <c r="H61" s="73">
        <v>0</v>
      </c>
      <c r="I61" s="75">
        <f t="shared" si="48"/>
        <v>0</v>
      </c>
      <c r="J61" s="75">
        <f t="shared" si="49"/>
        <v>22600000</v>
      </c>
      <c r="K61" s="75">
        <f t="shared" si="50"/>
        <v>122040</v>
      </c>
      <c r="L61" s="75">
        <f t="shared" si="51"/>
        <v>480000</v>
      </c>
      <c r="M61" s="75">
        <f t="shared" si="52"/>
        <v>49954080</v>
      </c>
      <c r="N61" s="75"/>
      <c r="O61" s="75">
        <f t="shared" ref="O61:O71" si="62">+N61+O60</f>
        <v>0</v>
      </c>
      <c r="P61" s="75">
        <f t="shared" ref="P61:P71" si="63">M61+O61</f>
        <v>49954080</v>
      </c>
      <c r="Q61" s="75">
        <f>IF(5%*P61&gt;500000*2,500000*2,5%*P61)</f>
        <v>1000000</v>
      </c>
      <c r="R61" s="75">
        <f t="shared" si="53"/>
        <v>452000</v>
      </c>
      <c r="S61" s="75">
        <f t="shared" si="54"/>
        <v>90776</v>
      </c>
      <c r="T61" s="75">
        <f t="shared" ref="T61:T71" si="64">+R61+S61</f>
        <v>542776</v>
      </c>
      <c r="U61" s="75">
        <f t="shared" ref="U61:U71" si="65">+T61+U60</f>
        <v>1085552</v>
      </c>
      <c r="V61" s="75">
        <f t="shared" si="56"/>
        <v>2085552</v>
      </c>
      <c r="W61" s="75">
        <f t="shared" ref="W61:W71" si="66">P61-V61</f>
        <v>47868528</v>
      </c>
      <c r="X61" s="73">
        <f>W61*12/2</f>
        <v>287211168</v>
      </c>
      <c r="Y61" s="75">
        <v>0</v>
      </c>
      <c r="Z61" s="75">
        <f t="shared" si="57"/>
        <v>287211168</v>
      </c>
      <c r="AA61" s="73">
        <f t="shared" si="58"/>
        <v>63000000</v>
      </c>
      <c r="AB61" s="80">
        <f t="shared" si="59"/>
        <v>224211000</v>
      </c>
      <c r="AC61" s="75">
        <f t="shared" ref="AC61:AC71" si="67">IF(AB61&lt;=0,0,IF(AB61&lt;=60000000,0.05*AB61,IF(AB61&lt;=250000000,3000000+(AB61-60000000)*0.15,IF(AB61&lt;=500000000,31500000+(AB61-250000000)*0.25,IF(AB61&lt;=5000000000,94000000+(AB61-500000000)*0.3,IF(AB61&gt;5000000000,1444000000+(AB61-5000000000)*0.35))))))</f>
        <v>27631650</v>
      </c>
      <c r="AD61" s="81">
        <f>AC61*2/12</f>
        <v>4605275</v>
      </c>
      <c r="AE61" s="73">
        <f t="shared" ref="AE61:AE71" si="68">AD61-AD60</f>
        <v>2036387.5</v>
      </c>
      <c r="AF61" s="81">
        <f t="shared" ref="AF61:AF71" si="69">P61-P60</f>
        <v>23202040</v>
      </c>
      <c r="AG61" s="80">
        <f t="shared" si="60"/>
        <v>0</v>
      </c>
      <c r="AH61" s="99">
        <f t="shared" si="61"/>
        <v>120000</v>
      </c>
      <c r="AI61" s="82">
        <f t="shared" ref="AI61:AI71" si="70">D61+I61+N61-AE61-T61-AH61</f>
        <v>19900836.5</v>
      </c>
      <c r="AL61" s="83">
        <v>20000</v>
      </c>
      <c r="AM61" s="83"/>
    </row>
    <row r="62" spans="1:43">
      <c r="A62" s="78" t="s">
        <v>101</v>
      </c>
      <c r="B62" s="104" t="s">
        <v>113</v>
      </c>
      <c r="C62" s="105"/>
      <c r="D62" s="73">
        <v>22600000</v>
      </c>
      <c r="E62" s="73"/>
      <c r="F62" s="73"/>
      <c r="G62" s="73"/>
      <c r="H62" s="73">
        <v>0</v>
      </c>
      <c r="I62" s="75">
        <f t="shared" si="48"/>
        <v>0</v>
      </c>
      <c r="J62" s="75">
        <f t="shared" si="49"/>
        <v>22600000</v>
      </c>
      <c r="K62" s="75">
        <f t="shared" si="50"/>
        <v>122040</v>
      </c>
      <c r="L62" s="75">
        <f t="shared" si="51"/>
        <v>480000</v>
      </c>
      <c r="M62" s="75">
        <f t="shared" si="52"/>
        <v>73156120</v>
      </c>
      <c r="N62" s="75"/>
      <c r="O62" s="75">
        <f t="shared" si="62"/>
        <v>0</v>
      </c>
      <c r="P62" s="75">
        <f t="shared" si="63"/>
        <v>73156120</v>
      </c>
      <c r="Q62" s="75">
        <f>IF(5%*P62&gt;500000*3,500000*3,5%*P62)</f>
        <v>1500000</v>
      </c>
      <c r="R62" s="75">
        <f t="shared" si="53"/>
        <v>452000</v>
      </c>
      <c r="S62" s="75">
        <f t="shared" si="54"/>
        <v>90776</v>
      </c>
      <c r="T62" s="75">
        <f t="shared" si="64"/>
        <v>542776</v>
      </c>
      <c r="U62" s="75">
        <f t="shared" si="65"/>
        <v>1628328</v>
      </c>
      <c r="V62" s="75">
        <f t="shared" si="56"/>
        <v>3128328</v>
      </c>
      <c r="W62" s="75">
        <f t="shared" si="66"/>
        <v>70027792</v>
      </c>
      <c r="X62" s="73">
        <f>W62*12/3</f>
        <v>280111168</v>
      </c>
      <c r="Y62" s="75">
        <v>0</v>
      </c>
      <c r="Z62" s="75">
        <f t="shared" si="57"/>
        <v>280111168</v>
      </c>
      <c r="AA62" s="73">
        <f t="shared" si="58"/>
        <v>63000000</v>
      </c>
      <c r="AB62" s="80">
        <f t="shared" si="59"/>
        <v>217111000</v>
      </c>
      <c r="AC62" s="75">
        <f t="shared" si="67"/>
        <v>26566650</v>
      </c>
      <c r="AD62" s="81">
        <f>AC62*3/12</f>
        <v>6641662.5</v>
      </c>
      <c r="AE62" s="73">
        <f t="shared" si="68"/>
        <v>2036387.5</v>
      </c>
      <c r="AF62" s="81">
        <f t="shared" si="69"/>
        <v>23202040</v>
      </c>
      <c r="AG62" s="80">
        <f t="shared" si="60"/>
        <v>0</v>
      </c>
      <c r="AH62" s="99">
        <f t="shared" si="61"/>
        <v>120000</v>
      </c>
      <c r="AI62" s="82">
        <f t="shared" si="70"/>
        <v>19900836.5</v>
      </c>
      <c r="AL62" s="83">
        <v>300</v>
      </c>
      <c r="AM62" s="83"/>
    </row>
    <row r="63" spans="1:43">
      <c r="A63" s="78" t="s">
        <v>102</v>
      </c>
      <c r="B63" s="104" t="s">
        <v>113</v>
      </c>
      <c r="C63" s="105"/>
      <c r="D63" s="73">
        <v>22600000</v>
      </c>
      <c r="E63" s="73"/>
      <c r="F63" s="73"/>
      <c r="G63" s="73"/>
      <c r="H63" s="73">
        <v>0</v>
      </c>
      <c r="I63" s="75">
        <f t="shared" si="48"/>
        <v>0</v>
      </c>
      <c r="J63" s="75">
        <f t="shared" si="49"/>
        <v>22600000</v>
      </c>
      <c r="K63" s="75">
        <f t="shared" si="50"/>
        <v>122040</v>
      </c>
      <c r="L63" s="75">
        <f t="shared" si="51"/>
        <v>480000</v>
      </c>
      <c r="M63" s="75">
        <f t="shared" si="52"/>
        <v>96358160</v>
      </c>
      <c r="N63" s="75"/>
      <c r="O63" s="75">
        <f t="shared" si="62"/>
        <v>0</v>
      </c>
      <c r="P63" s="75">
        <f t="shared" si="63"/>
        <v>96358160</v>
      </c>
      <c r="Q63" s="75">
        <f>IF(5%*P63&gt;500000*4,500000*4,5%*P63)</f>
        <v>2000000</v>
      </c>
      <c r="R63" s="75">
        <f t="shared" si="53"/>
        <v>452000</v>
      </c>
      <c r="S63" s="75">
        <f t="shared" si="54"/>
        <v>90776</v>
      </c>
      <c r="T63" s="75">
        <f t="shared" si="64"/>
        <v>542776</v>
      </c>
      <c r="U63" s="75">
        <f t="shared" si="65"/>
        <v>2171104</v>
      </c>
      <c r="V63" s="75">
        <f t="shared" si="56"/>
        <v>4171104</v>
      </c>
      <c r="W63" s="75">
        <f t="shared" si="66"/>
        <v>92187056</v>
      </c>
      <c r="X63" s="73">
        <f>W63*12/4</f>
        <v>276561168</v>
      </c>
      <c r="Y63" s="75">
        <v>0</v>
      </c>
      <c r="Z63" s="75">
        <f t="shared" si="57"/>
        <v>276561168</v>
      </c>
      <c r="AA63" s="73">
        <f t="shared" si="58"/>
        <v>63000000</v>
      </c>
      <c r="AB63" s="80">
        <f t="shared" si="59"/>
        <v>213561000</v>
      </c>
      <c r="AC63" s="75">
        <f t="shared" si="67"/>
        <v>26034150</v>
      </c>
      <c r="AD63" s="81">
        <f>AC63*4/12</f>
        <v>8678050</v>
      </c>
      <c r="AE63" s="73">
        <f t="shared" si="68"/>
        <v>2036387.5</v>
      </c>
      <c r="AF63" s="81">
        <f t="shared" si="69"/>
        <v>23202040</v>
      </c>
      <c r="AG63" s="80">
        <f t="shared" si="60"/>
        <v>0</v>
      </c>
      <c r="AH63" s="99">
        <f t="shared" si="61"/>
        <v>120000</v>
      </c>
      <c r="AI63" s="82">
        <f t="shared" si="70"/>
        <v>19900836.5</v>
      </c>
      <c r="AL63" s="83">
        <v>650</v>
      </c>
      <c r="AM63" s="83"/>
    </row>
    <row r="64" spans="1:43">
      <c r="A64" s="78" t="s">
        <v>103</v>
      </c>
      <c r="B64" s="104" t="s">
        <v>113</v>
      </c>
      <c r="C64" s="105"/>
      <c r="D64" s="73">
        <v>22600000</v>
      </c>
      <c r="E64" s="73"/>
      <c r="F64" s="73"/>
      <c r="G64" s="73"/>
      <c r="H64" s="73">
        <v>0</v>
      </c>
      <c r="I64" s="75">
        <f t="shared" si="48"/>
        <v>0</v>
      </c>
      <c r="J64" s="75">
        <f t="shared" si="49"/>
        <v>22600000</v>
      </c>
      <c r="K64" s="75">
        <f t="shared" si="50"/>
        <v>122040</v>
      </c>
      <c r="L64" s="75">
        <f t="shared" si="51"/>
        <v>480000</v>
      </c>
      <c r="M64" s="75">
        <f t="shared" si="52"/>
        <v>119560200</v>
      </c>
      <c r="N64" s="75"/>
      <c r="O64" s="75">
        <f t="shared" si="62"/>
        <v>0</v>
      </c>
      <c r="P64" s="75">
        <f t="shared" si="63"/>
        <v>119560200</v>
      </c>
      <c r="Q64" s="75">
        <f>IF(5%*P64&gt;500000*5,500000*5,5%*P64)</f>
        <v>2500000</v>
      </c>
      <c r="R64" s="75">
        <f t="shared" si="53"/>
        <v>452000</v>
      </c>
      <c r="S64" s="75">
        <f t="shared" si="54"/>
        <v>90776</v>
      </c>
      <c r="T64" s="75">
        <f t="shared" si="64"/>
        <v>542776</v>
      </c>
      <c r="U64" s="75">
        <f t="shared" si="65"/>
        <v>2713880</v>
      </c>
      <c r="V64" s="75">
        <f t="shared" si="56"/>
        <v>5213880</v>
      </c>
      <c r="W64" s="75">
        <f t="shared" si="66"/>
        <v>114346320</v>
      </c>
      <c r="X64" s="73">
        <f>W64*12/5</f>
        <v>274431168</v>
      </c>
      <c r="Y64" s="75">
        <v>0</v>
      </c>
      <c r="Z64" s="75">
        <f t="shared" si="57"/>
        <v>274431168</v>
      </c>
      <c r="AA64" s="73">
        <f t="shared" si="58"/>
        <v>63000000</v>
      </c>
      <c r="AB64" s="80">
        <f t="shared" si="59"/>
        <v>211431000</v>
      </c>
      <c r="AC64" s="75">
        <f t="shared" si="67"/>
        <v>25714650</v>
      </c>
      <c r="AD64" s="81">
        <f>AC64*5/12</f>
        <v>10714437.5</v>
      </c>
      <c r="AE64" s="73">
        <f t="shared" si="68"/>
        <v>2036387.5</v>
      </c>
      <c r="AF64" s="81">
        <f t="shared" si="69"/>
        <v>23202040</v>
      </c>
      <c r="AG64" s="80">
        <f t="shared" si="60"/>
        <v>0</v>
      </c>
      <c r="AH64" s="99">
        <f t="shared" si="61"/>
        <v>120000</v>
      </c>
      <c r="AI64" s="82">
        <f t="shared" si="70"/>
        <v>19900836.5</v>
      </c>
      <c r="AL64" s="83">
        <v>1500</v>
      </c>
      <c r="AM64" s="83"/>
      <c r="AO64" s="83"/>
      <c r="AP64" s="83"/>
      <c r="AQ64" s="83"/>
    </row>
    <row r="65" spans="1:39">
      <c r="A65" s="78" t="s">
        <v>104</v>
      </c>
      <c r="B65" s="104" t="s">
        <v>113</v>
      </c>
      <c r="C65" s="105"/>
      <c r="D65" s="73">
        <v>22600000</v>
      </c>
      <c r="E65" s="73"/>
      <c r="F65" s="73"/>
      <c r="G65" s="73"/>
      <c r="H65" s="73">
        <v>0</v>
      </c>
      <c r="I65" s="75">
        <f t="shared" si="48"/>
        <v>0</v>
      </c>
      <c r="J65" s="75">
        <f t="shared" si="49"/>
        <v>22600000</v>
      </c>
      <c r="K65" s="75">
        <f t="shared" si="50"/>
        <v>122040</v>
      </c>
      <c r="L65" s="75">
        <f t="shared" si="51"/>
        <v>480000</v>
      </c>
      <c r="M65" s="75">
        <f t="shared" si="52"/>
        <v>142762240</v>
      </c>
      <c r="N65" s="75"/>
      <c r="O65" s="75">
        <f t="shared" si="62"/>
        <v>0</v>
      </c>
      <c r="P65" s="75">
        <f t="shared" si="63"/>
        <v>142762240</v>
      </c>
      <c r="Q65" s="75">
        <f>IF(5%*P65&gt;500000*6,500000*6,5%*P65)</f>
        <v>3000000</v>
      </c>
      <c r="R65" s="75">
        <f t="shared" si="53"/>
        <v>452000</v>
      </c>
      <c r="S65" s="75">
        <f t="shared" si="54"/>
        <v>90776</v>
      </c>
      <c r="T65" s="75">
        <f t="shared" si="64"/>
        <v>542776</v>
      </c>
      <c r="U65" s="75">
        <f t="shared" si="65"/>
        <v>3256656</v>
      </c>
      <c r="V65" s="75">
        <f t="shared" si="56"/>
        <v>6256656</v>
      </c>
      <c r="W65" s="75">
        <f t="shared" si="66"/>
        <v>136505584</v>
      </c>
      <c r="X65" s="73">
        <f>W65*12/6</f>
        <v>273011168</v>
      </c>
      <c r="Y65" s="75">
        <v>0</v>
      </c>
      <c r="Z65" s="75">
        <f t="shared" si="57"/>
        <v>273011168</v>
      </c>
      <c r="AA65" s="73">
        <f t="shared" si="58"/>
        <v>63000000</v>
      </c>
      <c r="AB65" s="80">
        <f t="shared" si="59"/>
        <v>210011000</v>
      </c>
      <c r="AC65" s="75">
        <f t="shared" si="67"/>
        <v>25501650</v>
      </c>
      <c r="AD65" s="81">
        <f>AC65*6/12</f>
        <v>12750825</v>
      </c>
      <c r="AE65" s="73">
        <f t="shared" si="68"/>
        <v>2036387.5</v>
      </c>
      <c r="AF65" s="81">
        <f t="shared" si="69"/>
        <v>23202040</v>
      </c>
      <c r="AG65" s="80">
        <f t="shared" si="60"/>
        <v>0</v>
      </c>
      <c r="AH65" s="99">
        <f t="shared" si="61"/>
        <v>120000</v>
      </c>
      <c r="AI65" s="82">
        <f t="shared" si="70"/>
        <v>19900836.5</v>
      </c>
      <c r="AL65" s="84">
        <v>150</v>
      </c>
      <c r="AM65" s="83"/>
    </row>
    <row r="66" spans="1:39">
      <c r="A66" s="78" t="s">
        <v>105</v>
      </c>
      <c r="B66" s="104" t="s">
        <v>113</v>
      </c>
      <c r="C66" s="105"/>
      <c r="D66" s="73">
        <v>22600000</v>
      </c>
      <c r="E66" s="73"/>
      <c r="F66" s="73"/>
      <c r="G66" s="73"/>
      <c r="H66" s="73">
        <v>0</v>
      </c>
      <c r="I66" s="75">
        <f t="shared" si="48"/>
        <v>0</v>
      </c>
      <c r="J66" s="75">
        <f t="shared" si="49"/>
        <v>22600000</v>
      </c>
      <c r="K66" s="75">
        <f t="shared" si="50"/>
        <v>122040</v>
      </c>
      <c r="L66" s="75">
        <f t="shared" si="51"/>
        <v>480000</v>
      </c>
      <c r="M66" s="75">
        <f t="shared" si="52"/>
        <v>165964280</v>
      </c>
      <c r="N66" s="75"/>
      <c r="O66" s="75">
        <f t="shared" si="62"/>
        <v>0</v>
      </c>
      <c r="P66" s="75">
        <f t="shared" si="63"/>
        <v>165964280</v>
      </c>
      <c r="Q66" s="75">
        <f>IF(5%*P66&gt;500000*7,500000*7,5%*P66)</f>
        <v>3500000</v>
      </c>
      <c r="R66" s="75">
        <f t="shared" si="53"/>
        <v>452000</v>
      </c>
      <c r="S66" s="75">
        <f t="shared" si="54"/>
        <v>90776</v>
      </c>
      <c r="T66" s="75">
        <f t="shared" si="64"/>
        <v>542776</v>
      </c>
      <c r="U66" s="75">
        <f t="shared" si="65"/>
        <v>3799432</v>
      </c>
      <c r="V66" s="75">
        <f t="shared" si="56"/>
        <v>7299432</v>
      </c>
      <c r="W66" s="75">
        <f t="shared" si="66"/>
        <v>158664848</v>
      </c>
      <c r="X66" s="73">
        <f>W66*12/7</f>
        <v>271996882.28571427</v>
      </c>
      <c r="Y66" s="75">
        <v>0</v>
      </c>
      <c r="Z66" s="75">
        <f t="shared" si="57"/>
        <v>271996882.28571427</v>
      </c>
      <c r="AA66" s="73">
        <f t="shared" si="58"/>
        <v>63000000</v>
      </c>
      <c r="AB66" s="80">
        <f t="shared" si="59"/>
        <v>208996000</v>
      </c>
      <c r="AC66" s="75">
        <f t="shared" si="67"/>
        <v>25349400</v>
      </c>
      <c r="AD66" s="81">
        <f>AC66*7/12</f>
        <v>14787150</v>
      </c>
      <c r="AE66" s="73">
        <f t="shared" si="68"/>
        <v>2036325</v>
      </c>
      <c r="AF66" s="81">
        <f t="shared" si="69"/>
        <v>23202040</v>
      </c>
      <c r="AG66" s="80">
        <f t="shared" si="60"/>
        <v>0</v>
      </c>
      <c r="AH66" s="99">
        <f t="shared" si="61"/>
        <v>120000</v>
      </c>
      <c r="AI66" s="82">
        <f t="shared" si="70"/>
        <v>19900899</v>
      </c>
      <c r="AL66" s="84"/>
      <c r="AM66" s="83"/>
    </row>
    <row r="67" spans="1:39">
      <c r="A67" s="78" t="s">
        <v>106</v>
      </c>
      <c r="B67" s="104" t="s">
        <v>113</v>
      </c>
      <c r="C67" s="105"/>
      <c r="D67" s="73">
        <v>22600000</v>
      </c>
      <c r="E67" s="73"/>
      <c r="F67" s="73"/>
      <c r="G67" s="73"/>
      <c r="H67" s="73">
        <v>0</v>
      </c>
      <c r="I67" s="75">
        <f t="shared" si="48"/>
        <v>0</v>
      </c>
      <c r="J67" s="75">
        <f t="shared" si="49"/>
        <v>22600000</v>
      </c>
      <c r="K67" s="75">
        <f t="shared" si="50"/>
        <v>122040</v>
      </c>
      <c r="L67" s="75">
        <f t="shared" si="51"/>
        <v>480000</v>
      </c>
      <c r="M67" s="75">
        <f t="shared" si="52"/>
        <v>189166320</v>
      </c>
      <c r="N67" s="75"/>
      <c r="O67" s="75">
        <f t="shared" si="62"/>
        <v>0</v>
      </c>
      <c r="P67" s="75">
        <f t="shared" si="63"/>
        <v>189166320</v>
      </c>
      <c r="Q67" s="75">
        <f>IF(5%*P67&gt;500000*8,500000*8,5%*P67)</f>
        <v>4000000</v>
      </c>
      <c r="R67" s="75">
        <f t="shared" si="53"/>
        <v>452000</v>
      </c>
      <c r="S67" s="75">
        <f t="shared" si="54"/>
        <v>90776</v>
      </c>
      <c r="T67" s="75">
        <f t="shared" si="64"/>
        <v>542776</v>
      </c>
      <c r="U67" s="75">
        <f t="shared" si="65"/>
        <v>4342208</v>
      </c>
      <c r="V67" s="75">
        <f t="shared" si="56"/>
        <v>8342208</v>
      </c>
      <c r="W67" s="75">
        <f t="shared" si="66"/>
        <v>180824112</v>
      </c>
      <c r="X67" s="73">
        <f>W67*12/8</f>
        <v>271236168</v>
      </c>
      <c r="Y67" s="75">
        <v>0</v>
      </c>
      <c r="Z67" s="75">
        <f t="shared" si="57"/>
        <v>271236168</v>
      </c>
      <c r="AA67" s="73">
        <f t="shared" si="58"/>
        <v>63000000</v>
      </c>
      <c r="AB67" s="80">
        <f t="shared" si="59"/>
        <v>208236000</v>
      </c>
      <c r="AC67" s="75">
        <f t="shared" si="67"/>
        <v>25235400</v>
      </c>
      <c r="AD67" s="81">
        <f>AC67*8/12</f>
        <v>16823600</v>
      </c>
      <c r="AE67" s="73">
        <f t="shared" si="68"/>
        <v>2036450</v>
      </c>
      <c r="AF67" s="81">
        <f t="shared" si="69"/>
        <v>23202040</v>
      </c>
      <c r="AG67" s="80">
        <f t="shared" si="60"/>
        <v>0</v>
      </c>
      <c r="AH67" s="99">
        <f t="shared" si="61"/>
        <v>120000</v>
      </c>
      <c r="AI67" s="82">
        <f t="shared" si="70"/>
        <v>19900774</v>
      </c>
      <c r="AL67" s="84"/>
      <c r="AM67" s="83"/>
    </row>
    <row r="68" spans="1:39">
      <c r="A68" s="78" t="s">
        <v>107</v>
      </c>
      <c r="B68" s="104" t="s">
        <v>113</v>
      </c>
      <c r="C68" s="105"/>
      <c r="D68" s="73">
        <v>22600000</v>
      </c>
      <c r="E68" s="73"/>
      <c r="F68" s="73"/>
      <c r="G68" s="73"/>
      <c r="H68" s="73">
        <v>0</v>
      </c>
      <c r="I68" s="75">
        <f t="shared" si="48"/>
        <v>0</v>
      </c>
      <c r="J68" s="75">
        <f t="shared" si="49"/>
        <v>22600000</v>
      </c>
      <c r="K68" s="75">
        <f t="shared" si="50"/>
        <v>122040</v>
      </c>
      <c r="L68" s="75">
        <f t="shared" si="51"/>
        <v>480000</v>
      </c>
      <c r="M68" s="75">
        <f t="shared" si="52"/>
        <v>212368360</v>
      </c>
      <c r="N68" s="75"/>
      <c r="O68" s="75">
        <f t="shared" si="62"/>
        <v>0</v>
      </c>
      <c r="P68" s="75">
        <f t="shared" si="63"/>
        <v>212368360</v>
      </c>
      <c r="Q68" s="75">
        <f>IF(5%*P68&gt;500000*9,500000*9,5%*P68)</f>
        <v>4500000</v>
      </c>
      <c r="R68" s="75">
        <f t="shared" si="53"/>
        <v>452000</v>
      </c>
      <c r="S68" s="75">
        <f t="shared" si="54"/>
        <v>90776</v>
      </c>
      <c r="T68" s="75">
        <f t="shared" si="64"/>
        <v>542776</v>
      </c>
      <c r="U68" s="75">
        <f t="shared" si="65"/>
        <v>4884984</v>
      </c>
      <c r="V68" s="75">
        <f t="shared" si="56"/>
        <v>9384984</v>
      </c>
      <c r="W68" s="75">
        <f t="shared" si="66"/>
        <v>202983376</v>
      </c>
      <c r="X68" s="73">
        <f>W68*12/9</f>
        <v>270644501.33333331</v>
      </c>
      <c r="Y68" s="75">
        <v>0</v>
      </c>
      <c r="Z68" s="75">
        <f t="shared" si="57"/>
        <v>270644501.33333331</v>
      </c>
      <c r="AA68" s="73">
        <f t="shared" si="58"/>
        <v>63000000</v>
      </c>
      <c r="AB68" s="80">
        <f t="shared" si="59"/>
        <v>207644000</v>
      </c>
      <c r="AC68" s="75">
        <f t="shared" si="67"/>
        <v>25146600</v>
      </c>
      <c r="AD68" s="81">
        <f>AC68*9/12</f>
        <v>18859950</v>
      </c>
      <c r="AE68" s="73">
        <f t="shared" si="68"/>
        <v>2036350</v>
      </c>
      <c r="AF68" s="81">
        <f t="shared" si="69"/>
        <v>23202040</v>
      </c>
      <c r="AG68" s="80">
        <f t="shared" si="60"/>
        <v>0</v>
      </c>
      <c r="AH68" s="99">
        <f t="shared" si="61"/>
        <v>120000</v>
      </c>
      <c r="AI68" s="82">
        <f t="shared" si="70"/>
        <v>19900874</v>
      </c>
    </row>
    <row r="69" spans="1:39">
      <c r="A69" s="78" t="s">
        <v>108</v>
      </c>
      <c r="B69" s="104" t="s">
        <v>113</v>
      </c>
      <c r="C69" s="105"/>
      <c r="D69" s="73">
        <v>22600000</v>
      </c>
      <c r="E69" s="73"/>
      <c r="F69" s="73"/>
      <c r="G69" s="73"/>
      <c r="H69" s="73">
        <v>0</v>
      </c>
      <c r="I69" s="75">
        <f t="shared" si="48"/>
        <v>0</v>
      </c>
      <c r="J69" s="75">
        <f t="shared" si="49"/>
        <v>22600000</v>
      </c>
      <c r="K69" s="75">
        <f t="shared" si="50"/>
        <v>122040</v>
      </c>
      <c r="L69" s="75">
        <f t="shared" si="51"/>
        <v>480000</v>
      </c>
      <c r="M69" s="75">
        <f t="shared" si="52"/>
        <v>235570400</v>
      </c>
      <c r="N69" s="75"/>
      <c r="O69" s="75">
        <f t="shared" si="62"/>
        <v>0</v>
      </c>
      <c r="P69" s="75">
        <f t="shared" si="63"/>
        <v>235570400</v>
      </c>
      <c r="Q69" s="75">
        <f>IF(5%*P69&gt;500000*10,500000*10,5%*P69)</f>
        <v>5000000</v>
      </c>
      <c r="R69" s="75">
        <f t="shared" si="53"/>
        <v>452000</v>
      </c>
      <c r="S69" s="75">
        <f t="shared" si="54"/>
        <v>90776</v>
      </c>
      <c r="T69" s="75">
        <f t="shared" si="64"/>
        <v>542776</v>
      </c>
      <c r="U69" s="75">
        <f t="shared" si="65"/>
        <v>5427760</v>
      </c>
      <c r="V69" s="75">
        <f t="shared" si="56"/>
        <v>10427760</v>
      </c>
      <c r="W69" s="75">
        <f t="shared" si="66"/>
        <v>225142640</v>
      </c>
      <c r="X69" s="73">
        <f>W69*12/10</f>
        <v>270171168</v>
      </c>
      <c r="Y69" s="75">
        <v>0</v>
      </c>
      <c r="Z69" s="75">
        <f t="shared" si="57"/>
        <v>270171168</v>
      </c>
      <c r="AA69" s="73">
        <f t="shared" si="58"/>
        <v>63000000</v>
      </c>
      <c r="AB69" s="80">
        <f t="shared" si="59"/>
        <v>207171000</v>
      </c>
      <c r="AC69" s="75">
        <f t="shared" si="67"/>
        <v>25075650</v>
      </c>
      <c r="AD69" s="81">
        <f>AC69*10/12</f>
        <v>20896375</v>
      </c>
      <c r="AE69" s="73">
        <f t="shared" si="68"/>
        <v>2036425</v>
      </c>
      <c r="AF69" s="81">
        <f t="shared" si="69"/>
        <v>23202040</v>
      </c>
      <c r="AG69" s="80">
        <f t="shared" si="60"/>
        <v>0</v>
      </c>
      <c r="AH69" s="99">
        <f t="shared" si="61"/>
        <v>120000</v>
      </c>
      <c r="AI69" s="82">
        <f t="shared" si="70"/>
        <v>19900799</v>
      </c>
    </row>
    <row r="70" spans="1:39">
      <c r="A70" s="78" t="s">
        <v>109</v>
      </c>
      <c r="B70" s="104" t="s">
        <v>113</v>
      </c>
      <c r="C70" s="105"/>
      <c r="D70" s="73">
        <v>22600000</v>
      </c>
      <c r="E70" s="73"/>
      <c r="F70" s="73"/>
      <c r="G70" s="73"/>
      <c r="H70" s="73">
        <v>0</v>
      </c>
      <c r="I70" s="75">
        <f>SUM(F70:H70)</f>
        <v>0</v>
      </c>
      <c r="J70" s="75">
        <f t="shared" si="49"/>
        <v>22600000</v>
      </c>
      <c r="K70" s="75">
        <f t="shared" si="50"/>
        <v>122040</v>
      </c>
      <c r="L70" s="75">
        <f t="shared" si="51"/>
        <v>480000</v>
      </c>
      <c r="M70" s="75">
        <f t="shared" si="52"/>
        <v>258772440</v>
      </c>
      <c r="N70" s="75"/>
      <c r="O70" s="75">
        <f t="shared" si="62"/>
        <v>0</v>
      </c>
      <c r="P70" s="75">
        <f t="shared" si="63"/>
        <v>258772440</v>
      </c>
      <c r="Q70" s="75">
        <f>IF(5%*P70&gt;500000*11,500000*11,5%*P70)</f>
        <v>5500000</v>
      </c>
      <c r="R70" s="75">
        <f t="shared" si="53"/>
        <v>452000</v>
      </c>
      <c r="S70" s="75">
        <f t="shared" si="54"/>
        <v>90776</v>
      </c>
      <c r="T70" s="75">
        <f t="shared" si="64"/>
        <v>542776</v>
      </c>
      <c r="U70" s="75">
        <f t="shared" si="65"/>
        <v>5970536</v>
      </c>
      <c r="V70" s="75">
        <f t="shared" si="56"/>
        <v>11470536</v>
      </c>
      <c r="W70" s="75">
        <f t="shared" si="66"/>
        <v>247301904</v>
      </c>
      <c r="X70" s="73">
        <f>W70*12/11</f>
        <v>269783895.27272725</v>
      </c>
      <c r="Y70" s="75">
        <v>0</v>
      </c>
      <c r="Z70" s="75">
        <f t="shared" si="57"/>
        <v>269783895.27272725</v>
      </c>
      <c r="AA70" s="73">
        <f t="shared" si="58"/>
        <v>63000000</v>
      </c>
      <c r="AB70" s="80">
        <f t="shared" si="59"/>
        <v>206783000</v>
      </c>
      <c r="AC70" s="75">
        <f t="shared" si="67"/>
        <v>25017450</v>
      </c>
      <c r="AD70" s="81">
        <f>AC70*11/12</f>
        <v>22932662.5</v>
      </c>
      <c r="AE70" s="73">
        <f t="shared" si="68"/>
        <v>2036287.5</v>
      </c>
      <c r="AF70" s="81">
        <f t="shared" si="69"/>
        <v>23202040</v>
      </c>
      <c r="AG70" s="80">
        <f t="shared" si="60"/>
        <v>0</v>
      </c>
      <c r="AH70" s="99">
        <f t="shared" si="61"/>
        <v>120000</v>
      </c>
      <c r="AI70" s="82">
        <f t="shared" si="70"/>
        <v>19900936.5</v>
      </c>
    </row>
    <row r="71" spans="1:39">
      <c r="A71" s="85" t="s">
        <v>110</v>
      </c>
      <c r="B71" s="104" t="s">
        <v>113</v>
      </c>
      <c r="C71" s="105"/>
      <c r="D71" s="73">
        <v>22600000</v>
      </c>
      <c r="E71" s="73"/>
      <c r="F71" s="73"/>
      <c r="G71" s="73"/>
      <c r="H71" s="73">
        <v>0</v>
      </c>
      <c r="I71" s="75">
        <f t="shared" si="48"/>
        <v>0</v>
      </c>
      <c r="J71" s="75">
        <f t="shared" si="49"/>
        <v>22600000</v>
      </c>
      <c r="K71" s="75">
        <f t="shared" si="50"/>
        <v>122040</v>
      </c>
      <c r="L71" s="75">
        <f t="shared" si="51"/>
        <v>480000</v>
      </c>
      <c r="M71" s="75">
        <f t="shared" si="52"/>
        <v>281974480</v>
      </c>
      <c r="N71" s="75"/>
      <c r="O71" s="75">
        <f t="shared" si="62"/>
        <v>0</v>
      </c>
      <c r="P71" s="75">
        <f t="shared" si="63"/>
        <v>281974480</v>
      </c>
      <c r="Q71" s="75">
        <f>IF(5%*P71&gt;500000*12,500000*12,5%*P71)</f>
        <v>6000000</v>
      </c>
      <c r="R71" s="75">
        <f t="shared" si="53"/>
        <v>452000</v>
      </c>
      <c r="S71" s="75">
        <f t="shared" si="54"/>
        <v>90776</v>
      </c>
      <c r="T71" s="75">
        <f t="shared" si="64"/>
        <v>542776</v>
      </c>
      <c r="U71" s="75">
        <f t="shared" si="65"/>
        <v>6513312</v>
      </c>
      <c r="V71" s="75">
        <f t="shared" si="56"/>
        <v>12513312</v>
      </c>
      <c r="W71" s="75">
        <f t="shared" si="66"/>
        <v>269461168</v>
      </c>
      <c r="X71" s="73">
        <f>W71*12/12</f>
        <v>269461168</v>
      </c>
      <c r="Y71" s="75">
        <v>0</v>
      </c>
      <c r="Z71" s="75">
        <f t="shared" si="57"/>
        <v>269461168</v>
      </c>
      <c r="AA71" s="73">
        <f t="shared" si="58"/>
        <v>63000000</v>
      </c>
      <c r="AB71" s="80">
        <f t="shared" si="59"/>
        <v>206461000</v>
      </c>
      <c r="AC71" s="75">
        <f t="shared" si="67"/>
        <v>24969150</v>
      </c>
      <c r="AD71" s="81">
        <f>AC71*12/12</f>
        <v>24969150</v>
      </c>
      <c r="AE71" s="73">
        <f t="shared" si="68"/>
        <v>2036487.5</v>
      </c>
      <c r="AF71" s="81">
        <f t="shared" si="69"/>
        <v>23202040</v>
      </c>
      <c r="AG71" s="80">
        <f t="shared" si="60"/>
        <v>0</v>
      </c>
      <c r="AH71" s="99">
        <f t="shared" si="61"/>
        <v>120000</v>
      </c>
      <c r="AI71" s="82">
        <f t="shared" si="70"/>
        <v>19900736.5</v>
      </c>
    </row>
    <row r="72" spans="1:39" ht="13.5" thickBot="1">
      <c r="A72" s="86" t="s">
        <v>111</v>
      </c>
      <c r="B72" s="86"/>
      <c r="C72" s="86"/>
      <c r="D72" s="87">
        <f t="shared" ref="D72:J72" si="71">SUM(D60:D71)</f>
        <v>271200000</v>
      </c>
      <c r="E72" s="87"/>
      <c r="F72" s="87">
        <f t="shared" si="71"/>
        <v>3000000</v>
      </c>
      <c r="G72" s="87">
        <f t="shared" si="71"/>
        <v>300000</v>
      </c>
      <c r="H72" s="87">
        <f t="shared" si="71"/>
        <v>250000</v>
      </c>
      <c r="I72" s="87">
        <f t="shared" si="71"/>
        <v>3550000</v>
      </c>
      <c r="J72" s="87">
        <f t="shared" si="71"/>
        <v>274750000</v>
      </c>
      <c r="K72" s="87">
        <f>SUM(K60:K71)</f>
        <v>1464480</v>
      </c>
      <c r="L72" s="87">
        <f>SUM(L60:L71)</f>
        <v>5760000</v>
      </c>
      <c r="M72" s="87">
        <f>+D72+I72+K72+L72</f>
        <v>281974480</v>
      </c>
      <c r="N72" s="87">
        <f>SUM(N60:N71)</f>
        <v>0</v>
      </c>
      <c r="O72" s="87">
        <f>+O71</f>
        <v>0</v>
      </c>
      <c r="P72" s="87">
        <f>+M72+O72</f>
        <v>281974480</v>
      </c>
      <c r="Q72" s="88">
        <f>Q71</f>
        <v>6000000</v>
      </c>
      <c r="R72" s="87">
        <f>SUM(R60:R71)</f>
        <v>5424000</v>
      </c>
      <c r="S72" s="87">
        <f>SUM(S60:S71)</f>
        <v>1089312</v>
      </c>
      <c r="T72" s="87">
        <f>SUM(T60:T71)</f>
        <v>6513312</v>
      </c>
      <c r="U72" s="88">
        <f>+U71</f>
        <v>6513312</v>
      </c>
      <c r="V72" s="88">
        <f t="shared" si="56"/>
        <v>12513312</v>
      </c>
      <c r="W72" s="88">
        <f>P72-V72</f>
        <v>269461168</v>
      </c>
      <c r="X72" s="88">
        <f>X71</f>
        <v>269461168</v>
      </c>
      <c r="Y72" s="88">
        <f>+Y71</f>
        <v>0</v>
      </c>
      <c r="Z72" s="88">
        <f>SUM(X72:Y72)</f>
        <v>269461168</v>
      </c>
      <c r="AA72" s="88">
        <f>AA71</f>
        <v>63000000</v>
      </c>
      <c r="AB72" s="89">
        <f>ROUNDDOWN(Z72-AA72,-3)</f>
        <v>206461000</v>
      </c>
      <c r="AC72" s="87">
        <f>IF(AB72&lt;=0,0,IF(AB72&lt;=50000000,0.05*AB72,IF(AB72&lt;=250000000,2500000+(AB72-50000000)*0.15,IF(AB72&lt;=500000000,32500000+(AB72-250000000)*0.25,IF(AB72&gt;500000000,95000000+(AB72-500000000)*0.3)))))</f>
        <v>25969150</v>
      </c>
      <c r="AD72" s="89">
        <f>AC72*12/12</f>
        <v>25969150</v>
      </c>
      <c r="AE72" s="88">
        <f>SUM(AE60:AE71)</f>
        <v>24969150</v>
      </c>
      <c r="AF72" s="90">
        <f>SUM(AF60:AF71)</f>
        <v>281974480</v>
      </c>
      <c r="AG72" s="89">
        <f>SUM(AG60:AG71)</f>
        <v>0</v>
      </c>
      <c r="AH72" s="89"/>
      <c r="AI72" s="91"/>
      <c r="AL72" s="84"/>
      <c r="AM72" s="83"/>
    </row>
    <row r="73" spans="1:39" ht="13.5" thickTop="1"/>
    <row r="76" spans="1:39">
      <c r="A76" s="60" t="s">
        <v>70</v>
      </c>
      <c r="D76" s="62"/>
      <c r="E76" s="62"/>
      <c r="F76" s="61"/>
    </row>
    <row r="77" spans="1:39">
      <c r="A77" s="60" t="s">
        <v>112</v>
      </c>
      <c r="B77" s="64"/>
      <c r="C77" s="64"/>
      <c r="F77" s="65"/>
      <c r="G77" s="65"/>
    </row>
    <row r="78" spans="1:39">
      <c r="A78" s="66" t="s">
        <v>121</v>
      </c>
      <c r="B78" s="67"/>
      <c r="C78" s="68"/>
      <c r="AE78" s="69"/>
    </row>
    <row r="79" spans="1:39">
      <c r="A79" s="125"/>
      <c r="B79" s="67"/>
      <c r="C79" s="68"/>
      <c r="AE79" s="68"/>
    </row>
    <row r="80" spans="1:39">
      <c r="A80" s="125"/>
      <c r="B80" s="67"/>
      <c r="C80" s="68"/>
      <c r="AE80" s="68"/>
    </row>
    <row r="81" spans="1:43" s="184" customFormat="1">
      <c r="A81" s="180" t="s">
        <v>261</v>
      </c>
      <c r="B81" s="181"/>
      <c r="C81" s="182"/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C81" s="183"/>
      <c r="AE81" s="182"/>
    </row>
    <row r="82" spans="1:43" ht="13.5" thickBot="1">
      <c r="A82" s="125"/>
      <c r="B82" s="67"/>
      <c r="C82" s="68"/>
      <c r="AE82" s="68"/>
    </row>
    <row r="83" spans="1:43" ht="27.75" customHeight="1" thickBot="1">
      <c r="A83" s="256" t="s">
        <v>71</v>
      </c>
      <c r="B83" s="256" t="s">
        <v>72</v>
      </c>
      <c r="C83" s="256" t="s">
        <v>73</v>
      </c>
      <c r="D83" s="252" t="s">
        <v>114</v>
      </c>
      <c r="E83" s="252" t="s">
        <v>260</v>
      </c>
      <c r="F83" s="258" t="s">
        <v>123</v>
      </c>
      <c r="G83" s="258"/>
      <c r="H83" s="258"/>
      <c r="I83" s="252" t="s">
        <v>124</v>
      </c>
      <c r="J83" s="252" t="s">
        <v>118</v>
      </c>
      <c r="K83" s="254" t="s">
        <v>119</v>
      </c>
      <c r="L83" s="255"/>
      <c r="M83" s="264" t="s">
        <v>75</v>
      </c>
      <c r="N83" s="264" t="s">
        <v>76</v>
      </c>
      <c r="O83" s="264" t="s">
        <v>77</v>
      </c>
      <c r="P83" s="264" t="s">
        <v>78</v>
      </c>
      <c r="Q83" s="268" t="s">
        <v>79</v>
      </c>
      <c r="R83" s="266" t="s">
        <v>117</v>
      </c>
      <c r="S83" s="267"/>
      <c r="T83" s="100"/>
      <c r="U83" s="264" t="s">
        <v>80</v>
      </c>
      <c r="V83" s="264" t="s">
        <v>81</v>
      </c>
      <c r="W83" s="264" t="s">
        <v>82</v>
      </c>
      <c r="X83" s="261" t="s">
        <v>83</v>
      </c>
      <c r="Y83" s="262"/>
      <c r="Z83" s="262"/>
      <c r="AA83" s="262"/>
      <c r="AB83" s="262"/>
      <c r="AC83" s="263"/>
      <c r="AD83" s="264" t="s">
        <v>84</v>
      </c>
      <c r="AE83" s="264" t="s">
        <v>85</v>
      </c>
      <c r="AF83" s="259" t="s">
        <v>86</v>
      </c>
      <c r="AG83" s="259" t="s">
        <v>87</v>
      </c>
      <c r="AH83" s="70"/>
      <c r="AI83" s="259" t="s">
        <v>88</v>
      </c>
    </row>
    <row r="84" spans="1:43" ht="57" customHeight="1">
      <c r="A84" s="257"/>
      <c r="B84" s="257"/>
      <c r="C84" s="257"/>
      <c r="D84" s="253"/>
      <c r="E84" s="253"/>
      <c r="F84" s="102" t="s">
        <v>89</v>
      </c>
      <c r="G84" s="102" t="s">
        <v>122</v>
      </c>
      <c r="H84" s="102" t="s">
        <v>74</v>
      </c>
      <c r="I84" s="253"/>
      <c r="J84" s="253"/>
      <c r="K84" s="103" t="s">
        <v>90</v>
      </c>
      <c r="L84" s="103" t="s">
        <v>91</v>
      </c>
      <c r="M84" s="265"/>
      <c r="N84" s="265"/>
      <c r="O84" s="265"/>
      <c r="P84" s="265"/>
      <c r="Q84" s="265"/>
      <c r="R84" s="101" t="s">
        <v>115</v>
      </c>
      <c r="S84" s="101" t="s">
        <v>116</v>
      </c>
      <c r="T84" s="101" t="s">
        <v>125</v>
      </c>
      <c r="U84" s="265"/>
      <c r="V84" s="265"/>
      <c r="W84" s="265"/>
      <c r="X84" s="71" t="s">
        <v>92</v>
      </c>
      <c r="Y84" s="71" t="s">
        <v>93</v>
      </c>
      <c r="Z84" s="71" t="s">
        <v>94</v>
      </c>
      <c r="AA84" s="71" t="s">
        <v>95</v>
      </c>
      <c r="AB84" s="71" t="s">
        <v>96</v>
      </c>
      <c r="AC84" s="71" t="s">
        <v>97</v>
      </c>
      <c r="AD84" s="265"/>
      <c r="AE84" s="265"/>
      <c r="AF84" s="260"/>
      <c r="AG84" s="260"/>
      <c r="AH84" s="72" t="s">
        <v>98</v>
      </c>
      <c r="AI84" s="260"/>
    </row>
    <row r="85" spans="1:43">
      <c r="A85" s="67"/>
      <c r="B85" s="67"/>
      <c r="C85" s="67"/>
      <c r="D85" s="73"/>
      <c r="E85" s="74"/>
      <c r="F85" s="74"/>
      <c r="G85" s="73"/>
      <c r="H85" s="75"/>
      <c r="I85" s="75"/>
      <c r="J85" s="75"/>
      <c r="K85" s="75"/>
      <c r="L85" s="75"/>
      <c r="M85" s="75"/>
      <c r="N85" s="75"/>
      <c r="O85" s="75"/>
      <c r="P85" s="73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6"/>
      <c r="AG85" s="77"/>
      <c r="AH85" s="77"/>
      <c r="AI85" s="76"/>
    </row>
    <row r="86" spans="1:43" s="155" customFormat="1">
      <c r="A86" s="145" t="s">
        <v>99</v>
      </c>
      <c r="B86" s="146" t="s">
        <v>113</v>
      </c>
      <c r="C86" s="147"/>
      <c r="D86" s="148">
        <f>22600000</f>
        <v>22600000</v>
      </c>
      <c r="E86" s="148"/>
      <c r="F86" s="148">
        <v>3000000</v>
      </c>
      <c r="G86" s="149">
        <v>300000</v>
      </c>
      <c r="H86" s="148">
        <v>250000</v>
      </c>
      <c r="I86" s="150">
        <f t="shared" ref="I86:I97" si="72">SUM(F86:H86)</f>
        <v>3550000</v>
      </c>
      <c r="J86" s="150">
        <f t="shared" ref="J86:J97" si="73">+D86+I86</f>
        <v>26150000</v>
      </c>
      <c r="K86" s="150">
        <f t="shared" ref="K86:K97" si="74">(0.24%*D86)+(D86*0.3%)</f>
        <v>122040</v>
      </c>
      <c r="L86" s="151">
        <f t="shared" ref="L86:L97" si="75">IF(D86&gt;=12000000,12000000*4%,D86*4%)</f>
        <v>480000</v>
      </c>
      <c r="M86" s="150">
        <f t="shared" ref="M86:M97" si="76">+D86+I86+K86+L86+M85</f>
        <v>26752040</v>
      </c>
      <c r="N86" s="136">
        <f>D86</f>
        <v>22600000</v>
      </c>
      <c r="O86" s="150">
        <f>+N86+O85</f>
        <v>22600000</v>
      </c>
      <c r="P86" s="150">
        <f>M86+O86</f>
        <v>49352040</v>
      </c>
      <c r="Q86" s="150">
        <f>IF(5%*P86&gt;500000*1,500000*1,5%*P86)</f>
        <v>500000</v>
      </c>
      <c r="R86" s="150">
        <f t="shared" ref="R86:R97" si="77">(D86*2%)</f>
        <v>452000</v>
      </c>
      <c r="S86" s="150">
        <f t="shared" ref="S86:S97" si="78">IF(D86&gt;=9077600,9077600*1%,D86*1%)</f>
        <v>90776</v>
      </c>
      <c r="T86" s="150">
        <f>+R86+S86</f>
        <v>542776</v>
      </c>
      <c r="U86" s="150">
        <f t="shared" ref="U86" si="79">+R86+S86+U85</f>
        <v>542776</v>
      </c>
      <c r="V86" s="150">
        <f t="shared" ref="V86:V98" si="80">+Q86+U86</f>
        <v>1042776</v>
      </c>
      <c r="W86" s="150">
        <f>P86-V86</f>
        <v>48309264</v>
      </c>
      <c r="X86" s="148">
        <f>W86*12/1</f>
        <v>579711168</v>
      </c>
      <c r="Y86" s="150">
        <v>0</v>
      </c>
      <c r="Z86" s="150">
        <f t="shared" ref="Z86:Z97" si="81">SUM(X86:Y86)</f>
        <v>579711168</v>
      </c>
      <c r="AA86" s="148">
        <f t="shared" ref="AA86:AA97" si="82">IF(B86="S/0",54000000,IF(B86="S/1",58500000,IF(B86="M/0",58500000,IF(B86="M/1",63000000,IF(B86="M/2",67500000,IF(B86="M/3",72000000))))))</f>
        <v>63000000</v>
      </c>
      <c r="AB86" s="152">
        <f t="shared" ref="AB86:AB97" si="83">ROUNDDOWN(Z86-AA86,-3)</f>
        <v>516711000</v>
      </c>
      <c r="AC86" s="150">
        <f>IF(AB86&lt;=0,0,IF(AB86&lt;=60000000,0.05*AB86,IF(AB86&lt;=250000000,3000000+(AB86-60000000)*0.15,IF(AB86&lt;=500000000,31500000+(AB86-250000000)*0.25,IF(AB86&lt;=5000000000,94000000+(AB86-500000000)*0.3,IF(AB86&gt;5000000000,1444000000+(AB86-5000000000)*0.35))))))</f>
        <v>99013300</v>
      </c>
      <c r="AD86" s="153">
        <f>AC86*1/12</f>
        <v>8251108.333333333</v>
      </c>
      <c r="AE86" s="148">
        <f>AD86-AD85</f>
        <v>8251108.333333333</v>
      </c>
      <c r="AF86" s="153">
        <f>P86-P85</f>
        <v>49352040</v>
      </c>
      <c r="AG86" s="152">
        <f t="shared" ref="AG86:AG97" si="84">+P86-AF86-P85</f>
        <v>0</v>
      </c>
      <c r="AH86" s="151">
        <f t="shared" ref="AH86:AH97" si="85">IF(D86&gt;=12000000,12000000*1%,D86*1%)</f>
        <v>120000</v>
      </c>
      <c r="AI86" s="154">
        <f>D86+I86+N86-AE86-T86-AH86</f>
        <v>39836115.666666664</v>
      </c>
      <c r="AL86" s="156">
        <v>7293979.166666667</v>
      </c>
      <c r="AM86" s="156"/>
    </row>
    <row r="87" spans="1:43">
      <c r="A87" s="78" t="s">
        <v>100</v>
      </c>
      <c r="B87" s="104" t="s">
        <v>113</v>
      </c>
      <c r="C87" s="105"/>
      <c r="D87" s="73">
        <v>22600000</v>
      </c>
      <c r="E87" s="73"/>
      <c r="F87" s="73"/>
      <c r="G87" s="73"/>
      <c r="H87" s="73">
        <v>0</v>
      </c>
      <c r="I87" s="75">
        <f t="shared" si="72"/>
        <v>0</v>
      </c>
      <c r="J87" s="75">
        <f t="shared" si="73"/>
        <v>22600000</v>
      </c>
      <c r="K87" s="75">
        <f t="shared" si="74"/>
        <v>122040</v>
      </c>
      <c r="L87" s="75">
        <f t="shared" si="75"/>
        <v>480000</v>
      </c>
      <c r="M87" s="75">
        <f t="shared" si="76"/>
        <v>49954080</v>
      </c>
      <c r="N87" s="138"/>
      <c r="O87" s="75">
        <f t="shared" ref="O87:O97" si="86">+N87+O86</f>
        <v>22600000</v>
      </c>
      <c r="P87" s="75">
        <f t="shared" ref="P87:P97" si="87">M87+O87</f>
        <v>72554080</v>
      </c>
      <c r="Q87" s="75">
        <f>IF(5%*P87&gt;500000*2,500000*2,5%*P87)</f>
        <v>1000000</v>
      </c>
      <c r="R87" s="75">
        <f t="shared" si="77"/>
        <v>452000</v>
      </c>
      <c r="S87" s="75">
        <f t="shared" si="78"/>
        <v>90776</v>
      </c>
      <c r="T87" s="75">
        <f t="shared" ref="T87:T97" si="88">+R87+S87</f>
        <v>542776</v>
      </c>
      <c r="U87" s="75">
        <f t="shared" ref="U87:U97" si="89">+T87+U86</f>
        <v>1085552</v>
      </c>
      <c r="V87" s="75">
        <f t="shared" si="80"/>
        <v>2085552</v>
      </c>
      <c r="W87" s="75">
        <f t="shared" ref="W87:W97" si="90">P87-V87</f>
        <v>70468528</v>
      </c>
      <c r="X87" s="73">
        <f>W87*12/2</f>
        <v>422811168</v>
      </c>
      <c r="Y87" s="75">
        <v>0</v>
      </c>
      <c r="Z87" s="75">
        <f t="shared" si="81"/>
        <v>422811168</v>
      </c>
      <c r="AA87" s="73">
        <f t="shared" si="82"/>
        <v>63000000</v>
      </c>
      <c r="AB87" s="80">
        <f t="shared" si="83"/>
        <v>359811000</v>
      </c>
      <c r="AC87" s="75">
        <f t="shared" ref="AC87:AC97" si="91">IF(AB87&lt;=0,0,IF(AB87&lt;=60000000,0.05*AB87,IF(AB87&lt;=250000000,3000000+(AB87-60000000)*0.15,IF(AB87&lt;=500000000,31500000+(AB87-250000000)*0.25,IF(AB87&lt;=5000000000,94000000+(AB87-500000000)*0.3,IF(AB87&gt;5000000000,1444000000+(AB87-5000000000)*0.35))))))</f>
        <v>58952750</v>
      </c>
      <c r="AD87" s="81">
        <f>AC87*2/12</f>
        <v>9825458.333333334</v>
      </c>
      <c r="AE87" s="73">
        <f t="shared" ref="AE87:AE97" si="92">AD87-AD86</f>
        <v>1574350.0000000009</v>
      </c>
      <c r="AF87" s="81">
        <f t="shared" ref="AF87:AF97" si="93">P87-P86</f>
        <v>23202040</v>
      </c>
      <c r="AG87" s="80">
        <f t="shared" si="84"/>
        <v>0</v>
      </c>
      <c r="AH87" s="99">
        <f t="shared" si="85"/>
        <v>120000</v>
      </c>
      <c r="AI87" s="82">
        <f t="shared" ref="AI87:AI97" si="94">D87+I87+N87-AE87-T87-AH87</f>
        <v>20362874</v>
      </c>
      <c r="AL87" s="83">
        <v>20000</v>
      </c>
      <c r="AM87" s="83"/>
    </row>
    <row r="88" spans="1:43">
      <c r="A88" s="78" t="s">
        <v>101</v>
      </c>
      <c r="B88" s="104" t="s">
        <v>113</v>
      </c>
      <c r="C88" s="105"/>
      <c r="D88" s="73">
        <v>22600000</v>
      </c>
      <c r="E88" s="73"/>
      <c r="F88" s="73"/>
      <c r="G88" s="73"/>
      <c r="H88" s="73">
        <v>0</v>
      </c>
      <c r="I88" s="75">
        <f t="shared" si="72"/>
        <v>0</v>
      </c>
      <c r="J88" s="75">
        <f t="shared" si="73"/>
        <v>22600000</v>
      </c>
      <c r="K88" s="75">
        <f t="shared" si="74"/>
        <v>122040</v>
      </c>
      <c r="L88" s="75">
        <f t="shared" si="75"/>
        <v>480000</v>
      </c>
      <c r="M88" s="75">
        <f t="shared" si="76"/>
        <v>73156120</v>
      </c>
      <c r="N88" s="138"/>
      <c r="O88" s="75">
        <f t="shared" si="86"/>
        <v>22600000</v>
      </c>
      <c r="P88" s="75">
        <f t="shared" si="87"/>
        <v>95756120</v>
      </c>
      <c r="Q88" s="75">
        <f>IF(5%*P88&gt;500000*3,500000*3,5%*P88)</f>
        <v>1500000</v>
      </c>
      <c r="R88" s="75">
        <f t="shared" si="77"/>
        <v>452000</v>
      </c>
      <c r="S88" s="75">
        <f t="shared" si="78"/>
        <v>90776</v>
      </c>
      <c r="T88" s="75">
        <f t="shared" si="88"/>
        <v>542776</v>
      </c>
      <c r="U88" s="75">
        <f t="shared" si="89"/>
        <v>1628328</v>
      </c>
      <c r="V88" s="75">
        <f t="shared" si="80"/>
        <v>3128328</v>
      </c>
      <c r="W88" s="75">
        <f t="shared" si="90"/>
        <v>92627792</v>
      </c>
      <c r="X88" s="73">
        <f>W88*12/3</f>
        <v>370511168</v>
      </c>
      <c r="Y88" s="75">
        <v>0</v>
      </c>
      <c r="Z88" s="75">
        <f t="shared" si="81"/>
        <v>370511168</v>
      </c>
      <c r="AA88" s="73">
        <f t="shared" si="82"/>
        <v>63000000</v>
      </c>
      <c r="AB88" s="80">
        <f t="shared" si="83"/>
        <v>307511000</v>
      </c>
      <c r="AC88" s="75">
        <f t="shared" si="91"/>
        <v>45877750</v>
      </c>
      <c r="AD88" s="81">
        <f>AC88*3/12</f>
        <v>11469437.5</v>
      </c>
      <c r="AE88" s="73">
        <f t="shared" si="92"/>
        <v>1643979.166666666</v>
      </c>
      <c r="AF88" s="81">
        <f t="shared" si="93"/>
        <v>23202040</v>
      </c>
      <c r="AG88" s="80">
        <f t="shared" si="84"/>
        <v>0</v>
      </c>
      <c r="AH88" s="99">
        <f t="shared" si="85"/>
        <v>120000</v>
      </c>
      <c r="AI88" s="82">
        <f t="shared" si="94"/>
        <v>20293244.833333336</v>
      </c>
      <c r="AL88" s="83">
        <v>300</v>
      </c>
      <c r="AM88" s="83"/>
    </row>
    <row r="89" spans="1:43">
      <c r="A89" s="78" t="s">
        <v>102</v>
      </c>
      <c r="B89" s="104" t="s">
        <v>113</v>
      </c>
      <c r="C89" s="105"/>
      <c r="D89" s="73">
        <v>22600000</v>
      </c>
      <c r="E89" s="73"/>
      <c r="F89" s="73"/>
      <c r="G89" s="73"/>
      <c r="H89" s="73">
        <v>0</v>
      </c>
      <c r="I89" s="75">
        <f t="shared" si="72"/>
        <v>0</v>
      </c>
      <c r="J89" s="75">
        <f t="shared" si="73"/>
        <v>22600000</v>
      </c>
      <c r="K89" s="75">
        <f t="shared" si="74"/>
        <v>122040</v>
      </c>
      <c r="L89" s="75">
        <f t="shared" si="75"/>
        <v>480000</v>
      </c>
      <c r="M89" s="75">
        <f t="shared" si="76"/>
        <v>96358160</v>
      </c>
      <c r="N89" s="138"/>
      <c r="O89" s="75">
        <f t="shared" si="86"/>
        <v>22600000</v>
      </c>
      <c r="P89" s="75">
        <f t="shared" si="87"/>
        <v>118958160</v>
      </c>
      <c r="Q89" s="75">
        <f>IF(5%*P89&gt;500000*4,500000*4,5%*P89)</f>
        <v>2000000</v>
      </c>
      <c r="R89" s="75">
        <f t="shared" si="77"/>
        <v>452000</v>
      </c>
      <c r="S89" s="75">
        <f t="shared" si="78"/>
        <v>90776</v>
      </c>
      <c r="T89" s="75">
        <f t="shared" si="88"/>
        <v>542776</v>
      </c>
      <c r="U89" s="75">
        <f t="shared" si="89"/>
        <v>2171104</v>
      </c>
      <c r="V89" s="75">
        <f t="shared" si="80"/>
        <v>4171104</v>
      </c>
      <c r="W89" s="75">
        <f t="shared" si="90"/>
        <v>114787056</v>
      </c>
      <c r="X89" s="73">
        <f>W89*12/4</f>
        <v>344361168</v>
      </c>
      <c r="Y89" s="75">
        <v>0</v>
      </c>
      <c r="Z89" s="75">
        <f t="shared" si="81"/>
        <v>344361168</v>
      </c>
      <c r="AA89" s="73">
        <f t="shared" si="82"/>
        <v>63000000</v>
      </c>
      <c r="AB89" s="80">
        <f t="shared" si="83"/>
        <v>281361000</v>
      </c>
      <c r="AC89" s="75">
        <f t="shared" si="91"/>
        <v>39340250</v>
      </c>
      <c r="AD89" s="81">
        <f>AC89*4/12</f>
        <v>13113416.666666666</v>
      </c>
      <c r="AE89" s="73">
        <f t="shared" si="92"/>
        <v>1643979.166666666</v>
      </c>
      <c r="AF89" s="81">
        <f t="shared" si="93"/>
        <v>23202040</v>
      </c>
      <c r="AG89" s="80">
        <f t="shared" si="84"/>
        <v>0</v>
      </c>
      <c r="AH89" s="99">
        <f t="shared" si="85"/>
        <v>120000</v>
      </c>
      <c r="AI89" s="82">
        <f t="shared" si="94"/>
        <v>20293244.833333336</v>
      </c>
      <c r="AL89" s="83">
        <v>650</v>
      </c>
      <c r="AM89" s="83"/>
    </row>
    <row r="90" spans="1:43">
      <c r="A90" s="78" t="s">
        <v>103</v>
      </c>
      <c r="B90" s="104" t="s">
        <v>113</v>
      </c>
      <c r="C90" s="105"/>
      <c r="D90" s="73">
        <v>22600000</v>
      </c>
      <c r="E90" s="73"/>
      <c r="F90" s="73"/>
      <c r="G90" s="73"/>
      <c r="H90" s="73">
        <v>0</v>
      </c>
      <c r="I90" s="75">
        <f t="shared" si="72"/>
        <v>0</v>
      </c>
      <c r="J90" s="75">
        <f t="shared" si="73"/>
        <v>22600000</v>
      </c>
      <c r="K90" s="75">
        <f t="shared" si="74"/>
        <v>122040</v>
      </c>
      <c r="L90" s="75">
        <f t="shared" si="75"/>
        <v>480000</v>
      </c>
      <c r="M90" s="75">
        <f t="shared" si="76"/>
        <v>119560200</v>
      </c>
      <c r="N90" s="138"/>
      <c r="O90" s="75">
        <f t="shared" si="86"/>
        <v>22600000</v>
      </c>
      <c r="P90" s="75">
        <f t="shared" si="87"/>
        <v>142160200</v>
      </c>
      <c r="Q90" s="75">
        <f>IF(5%*P90&gt;500000*5,500000*5,5%*P90)</f>
        <v>2500000</v>
      </c>
      <c r="R90" s="75">
        <f t="shared" si="77"/>
        <v>452000</v>
      </c>
      <c r="S90" s="75">
        <f t="shared" si="78"/>
        <v>90776</v>
      </c>
      <c r="T90" s="75">
        <f t="shared" si="88"/>
        <v>542776</v>
      </c>
      <c r="U90" s="75">
        <f t="shared" si="89"/>
        <v>2713880</v>
      </c>
      <c r="V90" s="75">
        <f t="shared" si="80"/>
        <v>5213880</v>
      </c>
      <c r="W90" s="75">
        <f t="shared" si="90"/>
        <v>136946320</v>
      </c>
      <c r="X90" s="73">
        <f>W90*12/5</f>
        <v>328671168</v>
      </c>
      <c r="Y90" s="75">
        <v>0</v>
      </c>
      <c r="Z90" s="75">
        <f t="shared" si="81"/>
        <v>328671168</v>
      </c>
      <c r="AA90" s="73">
        <f t="shared" si="82"/>
        <v>63000000</v>
      </c>
      <c r="AB90" s="80">
        <f t="shared" si="83"/>
        <v>265671000</v>
      </c>
      <c r="AC90" s="75">
        <f t="shared" si="91"/>
        <v>35417750</v>
      </c>
      <c r="AD90" s="81">
        <f>AC90*5/12</f>
        <v>14757395.833333334</v>
      </c>
      <c r="AE90" s="73">
        <f t="shared" si="92"/>
        <v>1643979.1666666679</v>
      </c>
      <c r="AF90" s="81">
        <f t="shared" si="93"/>
        <v>23202040</v>
      </c>
      <c r="AG90" s="80">
        <f t="shared" si="84"/>
        <v>0</v>
      </c>
      <c r="AH90" s="99">
        <f t="shared" si="85"/>
        <v>120000</v>
      </c>
      <c r="AI90" s="82">
        <f t="shared" si="94"/>
        <v>20293244.833333332</v>
      </c>
      <c r="AL90" s="83">
        <v>1500</v>
      </c>
      <c r="AM90" s="83"/>
      <c r="AO90" s="83"/>
      <c r="AP90" s="83"/>
      <c r="AQ90" s="83"/>
    </row>
    <row r="91" spans="1:43">
      <c r="A91" s="78" t="s">
        <v>104</v>
      </c>
      <c r="B91" s="104" t="s">
        <v>113</v>
      </c>
      <c r="C91" s="105"/>
      <c r="D91" s="73">
        <v>22600000</v>
      </c>
      <c r="E91" s="73"/>
      <c r="F91" s="73"/>
      <c r="G91" s="73"/>
      <c r="H91" s="73">
        <v>0</v>
      </c>
      <c r="I91" s="75">
        <f t="shared" si="72"/>
        <v>0</v>
      </c>
      <c r="J91" s="75">
        <f t="shared" si="73"/>
        <v>22600000</v>
      </c>
      <c r="K91" s="75">
        <f t="shared" si="74"/>
        <v>122040</v>
      </c>
      <c r="L91" s="75">
        <f t="shared" si="75"/>
        <v>480000</v>
      </c>
      <c r="M91" s="75">
        <f t="shared" si="76"/>
        <v>142762240</v>
      </c>
      <c r="N91" s="138"/>
      <c r="O91" s="75">
        <f t="shared" si="86"/>
        <v>22600000</v>
      </c>
      <c r="P91" s="75">
        <f t="shared" si="87"/>
        <v>165362240</v>
      </c>
      <c r="Q91" s="75">
        <f>IF(5%*P91&gt;500000*6,500000*6,5%*P91)</f>
        <v>3000000</v>
      </c>
      <c r="R91" s="75">
        <f t="shared" si="77"/>
        <v>452000</v>
      </c>
      <c r="S91" s="75">
        <f t="shared" si="78"/>
        <v>90776</v>
      </c>
      <c r="T91" s="75">
        <f t="shared" si="88"/>
        <v>542776</v>
      </c>
      <c r="U91" s="75">
        <f t="shared" si="89"/>
        <v>3256656</v>
      </c>
      <c r="V91" s="75">
        <f t="shared" si="80"/>
        <v>6256656</v>
      </c>
      <c r="W91" s="75">
        <f t="shared" si="90"/>
        <v>159105584</v>
      </c>
      <c r="X91" s="73">
        <f>W91*12/6</f>
        <v>318211168</v>
      </c>
      <c r="Y91" s="75">
        <v>0</v>
      </c>
      <c r="Z91" s="75">
        <f t="shared" si="81"/>
        <v>318211168</v>
      </c>
      <c r="AA91" s="73">
        <f t="shared" si="82"/>
        <v>63000000</v>
      </c>
      <c r="AB91" s="80">
        <f t="shared" si="83"/>
        <v>255211000</v>
      </c>
      <c r="AC91" s="75">
        <f t="shared" si="91"/>
        <v>32802750</v>
      </c>
      <c r="AD91" s="81">
        <f>AC91*6/12</f>
        <v>16401375</v>
      </c>
      <c r="AE91" s="73">
        <f t="shared" si="92"/>
        <v>1643979.166666666</v>
      </c>
      <c r="AF91" s="81">
        <f t="shared" si="93"/>
        <v>23202040</v>
      </c>
      <c r="AG91" s="80">
        <f t="shared" si="84"/>
        <v>0</v>
      </c>
      <c r="AH91" s="99">
        <f t="shared" si="85"/>
        <v>120000</v>
      </c>
      <c r="AI91" s="82">
        <f t="shared" si="94"/>
        <v>20293244.833333336</v>
      </c>
      <c r="AL91" s="84">
        <v>150</v>
      </c>
      <c r="AM91" s="83"/>
    </row>
    <row r="92" spans="1:43">
      <c r="A92" s="78" t="s">
        <v>105</v>
      </c>
      <c r="B92" s="104" t="s">
        <v>113</v>
      </c>
      <c r="C92" s="105"/>
      <c r="D92" s="73">
        <v>22600000</v>
      </c>
      <c r="E92" s="73"/>
      <c r="F92" s="73"/>
      <c r="G92" s="73"/>
      <c r="H92" s="73">
        <v>0</v>
      </c>
      <c r="I92" s="75">
        <f t="shared" si="72"/>
        <v>0</v>
      </c>
      <c r="J92" s="75">
        <f t="shared" si="73"/>
        <v>22600000</v>
      </c>
      <c r="K92" s="75">
        <f t="shared" si="74"/>
        <v>122040</v>
      </c>
      <c r="L92" s="75">
        <f t="shared" si="75"/>
        <v>480000</v>
      </c>
      <c r="M92" s="75">
        <f t="shared" si="76"/>
        <v>165964280</v>
      </c>
      <c r="N92" s="138"/>
      <c r="O92" s="75">
        <f t="shared" si="86"/>
        <v>22600000</v>
      </c>
      <c r="P92" s="75">
        <f t="shared" si="87"/>
        <v>188564280</v>
      </c>
      <c r="Q92" s="75">
        <f>IF(5%*P92&gt;500000*7,500000*7,5%*P92)</f>
        <v>3500000</v>
      </c>
      <c r="R92" s="75">
        <f t="shared" si="77"/>
        <v>452000</v>
      </c>
      <c r="S92" s="75">
        <f t="shared" si="78"/>
        <v>90776</v>
      </c>
      <c r="T92" s="75">
        <f t="shared" si="88"/>
        <v>542776</v>
      </c>
      <c r="U92" s="75">
        <f t="shared" si="89"/>
        <v>3799432</v>
      </c>
      <c r="V92" s="75">
        <f t="shared" si="80"/>
        <v>7299432</v>
      </c>
      <c r="W92" s="75">
        <f t="shared" si="90"/>
        <v>181264848</v>
      </c>
      <c r="X92" s="73">
        <f>W92*12/7</f>
        <v>310739739.4285714</v>
      </c>
      <c r="Y92" s="75">
        <v>0</v>
      </c>
      <c r="Z92" s="75">
        <f t="shared" si="81"/>
        <v>310739739.4285714</v>
      </c>
      <c r="AA92" s="73">
        <f t="shared" si="82"/>
        <v>63000000</v>
      </c>
      <c r="AB92" s="80">
        <f t="shared" si="83"/>
        <v>247739000</v>
      </c>
      <c r="AC92" s="75">
        <f t="shared" si="91"/>
        <v>31160850</v>
      </c>
      <c r="AD92" s="81">
        <f>AC92*7/12</f>
        <v>18177162.5</v>
      </c>
      <c r="AE92" s="73">
        <f t="shared" si="92"/>
        <v>1775787.5</v>
      </c>
      <c r="AF92" s="81">
        <f t="shared" si="93"/>
        <v>23202040</v>
      </c>
      <c r="AG92" s="80">
        <f t="shared" si="84"/>
        <v>0</v>
      </c>
      <c r="AH92" s="99">
        <f t="shared" si="85"/>
        <v>120000</v>
      </c>
      <c r="AI92" s="82">
        <f t="shared" si="94"/>
        <v>20161436.5</v>
      </c>
      <c r="AL92" s="84"/>
      <c r="AM92" s="83"/>
    </row>
    <row r="93" spans="1:43">
      <c r="A93" s="78" t="s">
        <v>106</v>
      </c>
      <c r="B93" s="104" t="s">
        <v>113</v>
      </c>
      <c r="C93" s="105"/>
      <c r="D93" s="73">
        <v>22600000</v>
      </c>
      <c r="E93" s="73"/>
      <c r="F93" s="73"/>
      <c r="G93" s="73"/>
      <c r="H93" s="73">
        <v>0</v>
      </c>
      <c r="I93" s="75">
        <f t="shared" si="72"/>
        <v>0</v>
      </c>
      <c r="J93" s="75">
        <f t="shared" si="73"/>
        <v>22600000</v>
      </c>
      <c r="K93" s="75">
        <f t="shared" si="74"/>
        <v>122040</v>
      </c>
      <c r="L93" s="75">
        <f t="shared" si="75"/>
        <v>480000</v>
      </c>
      <c r="M93" s="75">
        <f t="shared" si="76"/>
        <v>189166320</v>
      </c>
      <c r="N93" s="138"/>
      <c r="O93" s="75">
        <f t="shared" si="86"/>
        <v>22600000</v>
      </c>
      <c r="P93" s="75">
        <f t="shared" si="87"/>
        <v>211766320</v>
      </c>
      <c r="Q93" s="75">
        <f>IF(5%*P93&gt;500000*8,500000*8,5%*P93)</f>
        <v>4000000</v>
      </c>
      <c r="R93" s="75">
        <f t="shared" si="77"/>
        <v>452000</v>
      </c>
      <c r="S93" s="75">
        <f t="shared" si="78"/>
        <v>90776</v>
      </c>
      <c r="T93" s="75">
        <f t="shared" si="88"/>
        <v>542776</v>
      </c>
      <c r="U93" s="75">
        <f t="shared" si="89"/>
        <v>4342208</v>
      </c>
      <c r="V93" s="75">
        <f t="shared" si="80"/>
        <v>8342208</v>
      </c>
      <c r="W93" s="75">
        <f t="shared" si="90"/>
        <v>203424112</v>
      </c>
      <c r="X93" s="73">
        <f>W93*12/8</f>
        <v>305136168</v>
      </c>
      <c r="Y93" s="75">
        <v>0</v>
      </c>
      <c r="Z93" s="75">
        <f t="shared" si="81"/>
        <v>305136168</v>
      </c>
      <c r="AA93" s="73">
        <f t="shared" si="82"/>
        <v>63000000</v>
      </c>
      <c r="AB93" s="80">
        <f t="shared" si="83"/>
        <v>242136000</v>
      </c>
      <c r="AC93" s="75">
        <f t="shared" si="91"/>
        <v>30320400</v>
      </c>
      <c r="AD93" s="81">
        <f>AC93*8/12</f>
        <v>20213600</v>
      </c>
      <c r="AE93" s="73">
        <f t="shared" si="92"/>
        <v>2036437.5</v>
      </c>
      <c r="AF93" s="81">
        <f t="shared" si="93"/>
        <v>23202040</v>
      </c>
      <c r="AG93" s="80">
        <f t="shared" si="84"/>
        <v>0</v>
      </c>
      <c r="AH93" s="99">
        <f t="shared" si="85"/>
        <v>120000</v>
      </c>
      <c r="AI93" s="82">
        <f t="shared" si="94"/>
        <v>19900786.5</v>
      </c>
      <c r="AL93" s="84"/>
      <c r="AM93" s="83"/>
    </row>
    <row r="94" spans="1:43">
      <c r="A94" s="78" t="s">
        <v>107</v>
      </c>
      <c r="B94" s="104" t="s">
        <v>113</v>
      </c>
      <c r="C94" s="105"/>
      <c r="D94" s="73">
        <v>22600000</v>
      </c>
      <c r="E94" s="73"/>
      <c r="F94" s="73"/>
      <c r="G94" s="73"/>
      <c r="H94" s="73">
        <v>0</v>
      </c>
      <c r="I94" s="75">
        <f t="shared" si="72"/>
        <v>0</v>
      </c>
      <c r="J94" s="75">
        <f t="shared" si="73"/>
        <v>22600000</v>
      </c>
      <c r="K94" s="75">
        <f t="shared" si="74"/>
        <v>122040</v>
      </c>
      <c r="L94" s="75">
        <f t="shared" si="75"/>
        <v>480000</v>
      </c>
      <c r="M94" s="75">
        <f t="shared" si="76"/>
        <v>212368360</v>
      </c>
      <c r="N94" s="138"/>
      <c r="O94" s="75">
        <f t="shared" si="86"/>
        <v>22600000</v>
      </c>
      <c r="P94" s="75">
        <f t="shared" si="87"/>
        <v>234968360</v>
      </c>
      <c r="Q94" s="75">
        <f>IF(5%*P94&gt;500000*9,500000*9,5%*P94)</f>
        <v>4500000</v>
      </c>
      <c r="R94" s="75">
        <f t="shared" si="77"/>
        <v>452000</v>
      </c>
      <c r="S94" s="75">
        <f t="shared" si="78"/>
        <v>90776</v>
      </c>
      <c r="T94" s="75">
        <f t="shared" si="88"/>
        <v>542776</v>
      </c>
      <c r="U94" s="75">
        <f t="shared" si="89"/>
        <v>4884984</v>
      </c>
      <c r="V94" s="75">
        <f t="shared" si="80"/>
        <v>9384984</v>
      </c>
      <c r="W94" s="75">
        <f t="shared" si="90"/>
        <v>225583376</v>
      </c>
      <c r="X94" s="73">
        <f>W94*12/9</f>
        <v>300777834.66666669</v>
      </c>
      <c r="Y94" s="75">
        <v>0</v>
      </c>
      <c r="Z94" s="75">
        <f t="shared" si="81"/>
        <v>300777834.66666669</v>
      </c>
      <c r="AA94" s="73">
        <f t="shared" si="82"/>
        <v>63000000</v>
      </c>
      <c r="AB94" s="80">
        <f t="shared" si="83"/>
        <v>237777000</v>
      </c>
      <c r="AC94" s="75">
        <f t="shared" si="91"/>
        <v>29666550</v>
      </c>
      <c r="AD94" s="81">
        <f>AC94*9/12</f>
        <v>22249912.5</v>
      </c>
      <c r="AE94" s="73">
        <f t="shared" si="92"/>
        <v>2036312.5</v>
      </c>
      <c r="AF94" s="81">
        <f t="shared" si="93"/>
        <v>23202040</v>
      </c>
      <c r="AG94" s="80">
        <f t="shared" si="84"/>
        <v>0</v>
      </c>
      <c r="AH94" s="99">
        <f t="shared" si="85"/>
        <v>120000</v>
      </c>
      <c r="AI94" s="82">
        <f t="shared" si="94"/>
        <v>19900911.5</v>
      </c>
    </row>
    <row r="95" spans="1:43">
      <c r="A95" s="78" t="s">
        <v>108</v>
      </c>
      <c r="B95" s="104" t="s">
        <v>113</v>
      </c>
      <c r="C95" s="105"/>
      <c r="D95" s="73">
        <v>22600000</v>
      </c>
      <c r="E95" s="73"/>
      <c r="F95" s="73"/>
      <c r="G95" s="73"/>
      <c r="H95" s="73">
        <v>0</v>
      </c>
      <c r="I95" s="75">
        <f t="shared" si="72"/>
        <v>0</v>
      </c>
      <c r="J95" s="75">
        <f t="shared" si="73"/>
        <v>22600000</v>
      </c>
      <c r="K95" s="75">
        <f t="shared" si="74"/>
        <v>122040</v>
      </c>
      <c r="L95" s="75">
        <f t="shared" si="75"/>
        <v>480000</v>
      </c>
      <c r="M95" s="75">
        <f t="shared" si="76"/>
        <v>235570400</v>
      </c>
      <c r="N95" s="138"/>
      <c r="O95" s="75">
        <f t="shared" si="86"/>
        <v>22600000</v>
      </c>
      <c r="P95" s="75">
        <f t="shared" si="87"/>
        <v>258170400</v>
      </c>
      <c r="Q95" s="75">
        <f>IF(5%*P95&gt;500000*10,500000*10,5%*P95)</f>
        <v>5000000</v>
      </c>
      <c r="R95" s="75">
        <f t="shared" si="77"/>
        <v>452000</v>
      </c>
      <c r="S95" s="75">
        <f t="shared" si="78"/>
        <v>90776</v>
      </c>
      <c r="T95" s="75">
        <f t="shared" si="88"/>
        <v>542776</v>
      </c>
      <c r="U95" s="75">
        <f t="shared" si="89"/>
        <v>5427760</v>
      </c>
      <c r="V95" s="75">
        <f t="shared" si="80"/>
        <v>10427760</v>
      </c>
      <c r="W95" s="75">
        <f t="shared" si="90"/>
        <v>247742640</v>
      </c>
      <c r="X95" s="73">
        <f>W95*12/10</f>
        <v>297291168</v>
      </c>
      <c r="Y95" s="75">
        <v>0</v>
      </c>
      <c r="Z95" s="75">
        <f t="shared" si="81"/>
        <v>297291168</v>
      </c>
      <c r="AA95" s="73">
        <f t="shared" si="82"/>
        <v>63000000</v>
      </c>
      <c r="AB95" s="80">
        <f t="shared" si="83"/>
        <v>234291000</v>
      </c>
      <c r="AC95" s="75">
        <f t="shared" si="91"/>
        <v>29143650</v>
      </c>
      <c r="AD95" s="81">
        <f>AC95*10/12</f>
        <v>24286375</v>
      </c>
      <c r="AE95" s="73">
        <f t="shared" si="92"/>
        <v>2036462.5</v>
      </c>
      <c r="AF95" s="81">
        <f t="shared" si="93"/>
        <v>23202040</v>
      </c>
      <c r="AG95" s="80">
        <f t="shared" si="84"/>
        <v>0</v>
      </c>
      <c r="AH95" s="99">
        <f t="shared" si="85"/>
        <v>120000</v>
      </c>
      <c r="AI95" s="82">
        <f t="shared" si="94"/>
        <v>19900761.5</v>
      </c>
    </row>
    <row r="96" spans="1:43">
      <c r="A96" s="78" t="s">
        <v>109</v>
      </c>
      <c r="B96" s="104" t="s">
        <v>113</v>
      </c>
      <c r="C96" s="105"/>
      <c r="D96" s="73">
        <v>22600000</v>
      </c>
      <c r="E96" s="73"/>
      <c r="F96" s="73"/>
      <c r="G96" s="73"/>
      <c r="H96" s="73">
        <v>0</v>
      </c>
      <c r="I96" s="75">
        <f t="shared" si="72"/>
        <v>0</v>
      </c>
      <c r="J96" s="75">
        <f t="shared" si="73"/>
        <v>22600000</v>
      </c>
      <c r="K96" s="75">
        <f t="shared" si="74"/>
        <v>122040</v>
      </c>
      <c r="L96" s="75">
        <f t="shared" si="75"/>
        <v>480000</v>
      </c>
      <c r="M96" s="75">
        <f t="shared" si="76"/>
        <v>258772440</v>
      </c>
      <c r="N96" s="138"/>
      <c r="O96" s="75">
        <f t="shared" si="86"/>
        <v>22600000</v>
      </c>
      <c r="P96" s="75">
        <f t="shared" si="87"/>
        <v>281372440</v>
      </c>
      <c r="Q96" s="75">
        <f>IF(5%*P96&gt;500000*11,500000*11,5%*P96)</f>
        <v>5500000</v>
      </c>
      <c r="R96" s="75">
        <f t="shared" si="77"/>
        <v>452000</v>
      </c>
      <c r="S96" s="75">
        <f t="shared" si="78"/>
        <v>90776</v>
      </c>
      <c r="T96" s="75">
        <f t="shared" si="88"/>
        <v>542776</v>
      </c>
      <c r="U96" s="75">
        <f t="shared" si="89"/>
        <v>5970536</v>
      </c>
      <c r="V96" s="75">
        <f t="shared" si="80"/>
        <v>11470536</v>
      </c>
      <c r="W96" s="75">
        <f t="shared" si="90"/>
        <v>269901904</v>
      </c>
      <c r="X96" s="73">
        <f>W96*12/11</f>
        <v>294438440.72727275</v>
      </c>
      <c r="Y96" s="75">
        <v>0</v>
      </c>
      <c r="Z96" s="75">
        <f t="shared" si="81"/>
        <v>294438440.72727275</v>
      </c>
      <c r="AA96" s="73">
        <f t="shared" si="82"/>
        <v>63000000</v>
      </c>
      <c r="AB96" s="80">
        <f t="shared" si="83"/>
        <v>231438000</v>
      </c>
      <c r="AC96" s="75">
        <f t="shared" si="91"/>
        <v>28715700</v>
      </c>
      <c r="AD96" s="81">
        <f>AC96*11/12</f>
        <v>26322725</v>
      </c>
      <c r="AE96" s="73">
        <f t="shared" si="92"/>
        <v>2036350</v>
      </c>
      <c r="AF96" s="81">
        <f t="shared" si="93"/>
        <v>23202040</v>
      </c>
      <c r="AG96" s="80">
        <f t="shared" si="84"/>
        <v>0</v>
      </c>
      <c r="AH96" s="99">
        <f t="shared" si="85"/>
        <v>120000</v>
      </c>
      <c r="AI96" s="82">
        <f t="shared" si="94"/>
        <v>19900874</v>
      </c>
    </row>
    <row r="97" spans="1:39">
      <c r="A97" s="85" t="s">
        <v>110</v>
      </c>
      <c r="B97" s="104" t="s">
        <v>113</v>
      </c>
      <c r="C97" s="105"/>
      <c r="D97" s="73">
        <v>22600000</v>
      </c>
      <c r="E97" s="73"/>
      <c r="F97" s="73"/>
      <c r="G97" s="73"/>
      <c r="H97" s="73">
        <v>0</v>
      </c>
      <c r="I97" s="75">
        <f t="shared" si="72"/>
        <v>0</v>
      </c>
      <c r="J97" s="75">
        <f t="shared" si="73"/>
        <v>22600000</v>
      </c>
      <c r="K97" s="75">
        <f t="shared" si="74"/>
        <v>122040</v>
      </c>
      <c r="L97" s="75">
        <f t="shared" si="75"/>
        <v>480000</v>
      </c>
      <c r="M97" s="75">
        <f t="shared" si="76"/>
        <v>281974480</v>
      </c>
      <c r="N97" s="138"/>
      <c r="O97" s="75">
        <f t="shared" si="86"/>
        <v>22600000</v>
      </c>
      <c r="P97" s="75">
        <f t="shared" si="87"/>
        <v>304574480</v>
      </c>
      <c r="Q97" s="75">
        <f>IF(5%*P97&gt;500000*12,500000*12,5%*P97)</f>
        <v>6000000</v>
      </c>
      <c r="R97" s="75">
        <f t="shared" si="77"/>
        <v>452000</v>
      </c>
      <c r="S97" s="75">
        <f t="shared" si="78"/>
        <v>90776</v>
      </c>
      <c r="T97" s="75">
        <f t="shared" si="88"/>
        <v>542776</v>
      </c>
      <c r="U97" s="75">
        <f t="shared" si="89"/>
        <v>6513312</v>
      </c>
      <c r="V97" s="75">
        <f t="shared" si="80"/>
        <v>12513312</v>
      </c>
      <c r="W97" s="75">
        <f t="shared" si="90"/>
        <v>292061168</v>
      </c>
      <c r="X97" s="73">
        <f>W97*12/12</f>
        <v>292061168</v>
      </c>
      <c r="Y97" s="75">
        <v>0</v>
      </c>
      <c r="Z97" s="75">
        <f t="shared" si="81"/>
        <v>292061168</v>
      </c>
      <c r="AA97" s="73">
        <f t="shared" si="82"/>
        <v>63000000</v>
      </c>
      <c r="AB97" s="80">
        <f t="shared" si="83"/>
        <v>229061000</v>
      </c>
      <c r="AC97" s="75">
        <f t="shared" si="91"/>
        <v>28359150</v>
      </c>
      <c r="AD97" s="81">
        <f>AC97*12/12</f>
        <v>28359150</v>
      </c>
      <c r="AE97" s="73">
        <f t="shared" si="92"/>
        <v>2036425</v>
      </c>
      <c r="AF97" s="81">
        <f t="shared" si="93"/>
        <v>23202040</v>
      </c>
      <c r="AG97" s="80">
        <f t="shared" si="84"/>
        <v>0</v>
      </c>
      <c r="AH97" s="99">
        <f t="shared" si="85"/>
        <v>120000</v>
      </c>
      <c r="AI97" s="82">
        <f t="shared" si="94"/>
        <v>19900799</v>
      </c>
    </row>
    <row r="98" spans="1:39" ht="13.5" thickBot="1">
      <c r="A98" s="86" t="s">
        <v>111</v>
      </c>
      <c r="B98" s="86"/>
      <c r="C98" s="86"/>
      <c r="D98" s="87">
        <f t="shared" ref="D98:J98" si="95">SUM(D86:D97)</f>
        <v>271200000</v>
      </c>
      <c r="E98" s="87"/>
      <c r="F98" s="87">
        <f t="shared" si="95"/>
        <v>3000000</v>
      </c>
      <c r="G98" s="87">
        <f t="shared" si="95"/>
        <v>300000</v>
      </c>
      <c r="H98" s="87">
        <f t="shared" si="95"/>
        <v>250000</v>
      </c>
      <c r="I98" s="87">
        <f t="shared" si="95"/>
        <v>3550000</v>
      </c>
      <c r="J98" s="87">
        <f t="shared" si="95"/>
        <v>274750000</v>
      </c>
      <c r="K98" s="87">
        <f>SUM(K86:K97)</f>
        <v>1464480</v>
      </c>
      <c r="L98" s="87">
        <f>SUM(L86:L97)</f>
        <v>5760000</v>
      </c>
      <c r="M98" s="87">
        <f>+D98+I98+K98+L98</f>
        <v>281974480</v>
      </c>
      <c r="N98" s="87">
        <f>SUM(N86:N97)</f>
        <v>22600000</v>
      </c>
      <c r="O98" s="87">
        <f>+O97</f>
        <v>22600000</v>
      </c>
      <c r="P98" s="87">
        <f>+M98+O98</f>
        <v>304574480</v>
      </c>
      <c r="Q98" s="88">
        <f>Q97</f>
        <v>6000000</v>
      </c>
      <c r="R98" s="87">
        <f>SUM(R86:R97)</f>
        <v>5424000</v>
      </c>
      <c r="S98" s="87">
        <f>SUM(S86:S97)</f>
        <v>1089312</v>
      </c>
      <c r="T98" s="87">
        <f>SUM(T86:T97)</f>
        <v>6513312</v>
      </c>
      <c r="U98" s="88">
        <f>+U97</f>
        <v>6513312</v>
      </c>
      <c r="V98" s="88">
        <f t="shared" si="80"/>
        <v>12513312</v>
      </c>
      <c r="W98" s="88">
        <f>P98-V98</f>
        <v>292061168</v>
      </c>
      <c r="X98" s="88">
        <f>X97</f>
        <v>292061168</v>
      </c>
      <c r="Y98" s="88">
        <f>+Y97</f>
        <v>0</v>
      </c>
      <c r="Z98" s="88">
        <f>SUM(X98:Y98)</f>
        <v>292061168</v>
      </c>
      <c r="AA98" s="88">
        <f>AA97</f>
        <v>63000000</v>
      </c>
      <c r="AB98" s="89">
        <f>ROUNDDOWN(Z98-AA98,-3)</f>
        <v>229061000</v>
      </c>
      <c r="AC98" s="87">
        <f>IF(AB98&lt;=0,0,IF(AB98&lt;=50000000,0.05*AB98,IF(AB98&lt;=250000000,2500000+(AB98-50000000)*0.15,IF(AB98&lt;=500000000,32500000+(AB98-250000000)*0.25,IF(AB98&gt;500000000,95000000+(AB98-500000000)*0.3)))))</f>
        <v>29359150</v>
      </c>
      <c r="AD98" s="89">
        <f>AC98*12/12</f>
        <v>29359150</v>
      </c>
      <c r="AE98" s="88">
        <f>SUM(AE86:AE97)</f>
        <v>28359150</v>
      </c>
      <c r="AF98" s="90">
        <f>SUM(AF86:AF97)</f>
        <v>304574480</v>
      </c>
      <c r="AG98" s="89">
        <f>SUM(AG86:AG97)</f>
        <v>0</v>
      </c>
      <c r="AH98" s="89"/>
      <c r="AI98" s="91"/>
      <c r="AL98" s="84"/>
      <c r="AM98" s="83"/>
    </row>
    <row r="99" spans="1:39" ht="13.5" thickTop="1"/>
    <row r="102" spans="1:39">
      <c r="A102" s="60" t="s">
        <v>70</v>
      </c>
      <c r="D102" s="62"/>
      <c r="E102" s="62"/>
    </row>
    <row r="103" spans="1:39">
      <c r="A103" s="60" t="s">
        <v>112</v>
      </c>
      <c r="B103" s="64"/>
      <c r="C103" s="64"/>
      <c r="F103" s="65"/>
      <c r="G103" s="65"/>
    </row>
    <row r="104" spans="1:39">
      <c r="A104" s="66" t="s">
        <v>121</v>
      </c>
      <c r="B104" s="67"/>
      <c r="C104" s="68"/>
      <c r="AE104" s="69"/>
    </row>
    <row r="105" spans="1:39">
      <c r="A105" s="125"/>
      <c r="B105" s="67"/>
      <c r="C105" s="68"/>
      <c r="AE105" s="68"/>
    </row>
    <row r="106" spans="1:39">
      <c r="A106" s="126" t="s">
        <v>262</v>
      </c>
      <c r="B106" s="127"/>
      <c r="C106" s="159" t="s">
        <v>264</v>
      </c>
      <c r="D106" s="160" t="s">
        <v>265</v>
      </c>
      <c r="E106" s="161" t="s">
        <v>260</v>
      </c>
      <c r="AE106" s="68"/>
    </row>
    <row r="107" spans="1:39" ht="13.5" thickBot="1">
      <c r="A107" s="125"/>
      <c r="B107" s="67"/>
      <c r="C107" s="68"/>
      <c r="AE107" s="68"/>
    </row>
    <row r="108" spans="1:39" ht="27.75" customHeight="1" thickBot="1">
      <c r="A108" s="256" t="s">
        <v>71</v>
      </c>
      <c r="B108" s="256" t="s">
        <v>72</v>
      </c>
      <c r="C108" s="256" t="s">
        <v>73</v>
      </c>
      <c r="D108" s="129" t="s">
        <v>266</v>
      </c>
      <c r="E108" s="129"/>
      <c r="F108" s="258" t="s">
        <v>123</v>
      </c>
      <c r="G108" s="258"/>
      <c r="H108" s="258"/>
      <c r="I108" s="252" t="s">
        <v>124</v>
      </c>
      <c r="J108" s="252" t="s">
        <v>118</v>
      </c>
      <c r="K108" s="254" t="s">
        <v>119</v>
      </c>
      <c r="L108" s="255"/>
      <c r="M108" s="264" t="s">
        <v>75</v>
      </c>
      <c r="N108" s="264" t="s">
        <v>76</v>
      </c>
      <c r="O108" s="264" t="s">
        <v>77</v>
      </c>
      <c r="P108" s="264" t="s">
        <v>78</v>
      </c>
      <c r="Q108" s="268" t="s">
        <v>79</v>
      </c>
      <c r="R108" s="266" t="s">
        <v>117</v>
      </c>
      <c r="S108" s="267"/>
      <c r="T108" s="100"/>
      <c r="U108" s="264" t="s">
        <v>80</v>
      </c>
      <c r="V108" s="264" t="s">
        <v>81</v>
      </c>
      <c r="W108" s="264" t="s">
        <v>82</v>
      </c>
      <c r="X108" s="261" t="s">
        <v>83</v>
      </c>
      <c r="Y108" s="262"/>
      <c r="Z108" s="262"/>
      <c r="AA108" s="262"/>
      <c r="AB108" s="262"/>
      <c r="AC108" s="263"/>
      <c r="AD108" s="264" t="s">
        <v>84</v>
      </c>
      <c r="AE108" s="264" t="s">
        <v>85</v>
      </c>
      <c r="AF108" s="259" t="s">
        <v>86</v>
      </c>
      <c r="AG108" s="259" t="s">
        <v>87</v>
      </c>
      <c r="AH108" s="70"/>
      <c r="AI108" s="259" t="s">
        <v>88</v>
      </c>
    </row>
    <row r="109" spans="1:39" ht="57" customHeight="1">
      <c r="A109" s="257"/>
      <c r="B109" s="257"/>
      <c r="C109" s="257"/>
      <c r="D109" s="111" t="s">
        <v>114</v>
      </c>
      <c r="E109" s="111" t="s">
        <v>260</v>
      </c>
      <c r="F109" s="102" t="s">
        <v>89</v>
      </c>
      <c r="G109" s="102" t="s">
        <v>122</v>
      </c>
      <c r="H109" s="102" t="s">
        <v>74</v>
      </c>
      <c r="I109" s="253"/>
      <c r="J109" s="253"/>
      <c r="K109" s="103" t="s">
        <v>90</v>
      </c>
      <c r="L109" s="103" t="s">
        <v>91</v>
      </c>
      <c r="M109" s="265"/>
      <c r="N109" s="265"/>
      <c r="O109" s="265"/>
      <c r="P109" s="265"/>
      <c r="Q109" s="265"/>
      <c r="R109" s="101" t="s">
        <v>115</v>
      </c>
      <c r="S109" s="101" t="s">
        <v>116</v>
      </c>
      <c r="T109" s="101" t="s">
        <v>125</v>
      </c>
      <c r="U109" s="265"/>
      <c r="V109" s="265"/>
      <c r="W109" s="265"/>
      <c r="X109" s="71" t="s">
        <v>92</v>
      </c>
      <c r="Y109" s="71" t="s">
        <v>93</v>
      </c>
      <c r="Z109" s="71" t="s">
        <v>94</v>
      </c>
      <c r="AA109" s="71" t="s">
        <v>95</v>
      </c>
      <c r="AB109" s="71" t="s">
        <v>96</v>
      </c>
      <c r="AC109" s="71" t="s">
        <v>97</v>
      </c>
      <c r="AD109" s="265"/>
      <c r="AE109" s="265"/>
      <c r="AF109" s="260"/>
      <c r="AG109" s="260"/>
      <c r="AH109" s="72" t="s">
        <v>98</v>
      </c>
      <c r="AI109" s="260"/>
    </row>
    <row r="110" spans="1:39">
      <c r="A110" s="67"/>
      <c r="B110" s="67"/>
      <c r="C110" s="67"/>
      <c r="D110" s="73"/>
      <c r="E110" s="130"/>
      <c r="F110" s="74"/>
      <c r="G110" s="73"/>
      <c r="H110" s="75"/>
      <c r="I110" s="75"/>
      <c r="J110" s="75"/>
      <c r="K110" s="75"/>
      <c r="L110" s="75"/>
      <c r="M110" s="75"/>
      <c r="N110" s="75"/>
      <c r="O110" s="75"/>
      <c r="P110" s="73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6"/>
      <c r="AG110" s="77"/>
      <c r="AH110" s="77"/>
      <c r="AI110" s="76"/>
    </row>
    <row r="111" spans="1:39">
      <c r="A111" s="78" t="s">
        <v>99</v>
      </c>
      <c r="B111" s="104" t="s">
        <v>113</v>
      </c>
      <c r="C111" s="105"/>
      <c r="D111" s="73">
        <v>22600000</v>
      </c>
      <c r="E111" s="131"/>
      <c r="F111" s="73"/>
      <c r="G111" s="79"/>
      <c r="H111" s="73">
        <v>0</v>
      </c>
      <c r="I111" s="75">
        <f t="shared" ref="I111:I122" si="96">SUM(F111:H111)</f>
        <v>0</v>
      </c>
      <c r="J111" s="75">
        <f>+D111+I111+E111</f>
        <v>22600000</v>
      </c>
      <c r="K111" s="75">
        <f>(0.24%*D111)+(D111*0.3%)</f>
        <v>122040</v>
      </c>
      <c r="L111" s="99">
        <f t="shared" ref="L111:L122" si="97">IF(D111&gt;=12000000,12000000*4%,D111*4%)</f>
        <v>480000</v>
      </c>
      <c r="M111" s="75">
        <f t="shared" ref="M111:M122" si="98">+D111+I111+K111+L111+M110</f>
        <v>23202040</v>
      </c>
      <c r="N111" s="73"/>
      <c r="O111" s="75">
        <f>+N111+O110</f>
        <v>0</v>
      </c>
      <c r="P111" s="75">
        <f>M111+O111</f>
        <v>23202040</v>
      </c>
      <c r="Q111" s="75">
        <f>IF(5%*P111&gt;500000*1,500000*1,5%*P111)</f>
        <v>500000</v>
      </c>
      <c r="R111" s="75">
        <f>(D111*2%)</f>
        <v>452000</v>
      </c>
      <c r="S111" s="75">
        <f>IF(D111&gt;=9077600,9077600*1%,D111*1%)</f>
        <v>90776</v>
      </c>
      <c r="T111" s="75">
        <f>+R111+S111</f>
        <v>542776</v>
      </c>
      <c r="U111" s="75">
        <f t="shared" ref="U111" si="99">+R111+S111+U110</f>
        <v>542776</v>
      </c>
      <c r="V111" s="75">
        <f t="shared" ref="V111:V123" si="100">+Q111+U111</f>
        <v>1042776</v>
      </c>
      <c r="W111" s="75">
        <f>P111-V111</f>
        <v>22159264</v>
      </c>
      <c r="X111" s="73">
        <f>W111*12/1</f>
        <v>265911168</v>
      </c>
      <c r="Y111" s="75">
        <v>0</v>
      </c>
      <c r="Z111" s="75">
        <f t="shared" ref="Z111:Z122" si="101">SUM(X111:Y111)</f>
        <v>265911168</v>
      </c>
      <c r="AA111" s="73">
        <f t="shared" ref="AA111:AA122" si="102">IF(B111="S/0",54000000,IF(B111="S/1",58500000,IF(B111="M/0",58500000,IF(B111="M/1",63000000,IF(B111="M/2",67500000,IF(B111="M/3",72000000))))))</f>
        <v>63000000</v>
      </c>
      <c r="AB111" s="80">
        <f t="shared" ref="AB111:AB122" si="103">ROUNDDOWN(Z111-AA111,-3)</f>
        <v>202911000</v>
      </c>
      <c r="AC111" s="75">
        <f>IF(AB111&lt;=0,0,IF(AB111&lt;=60000000,0.05*AB111,IF(AB111&lt;=250000000,3000000+(AB111-60000000)*0.15,IF(AB111&lt;=500000000,31500000+(AB111-250000000)*0.25,IF(AB111&lt;=5000000000,94000000+(AB111-500000000)*0.3,IF(AB111&gt;5000000000,1444000000+(AB111-5000000000)*0.35))))))</f>
        <v>24436650</v>
      </c>
      <c r="AD111" s="81">
        <f>AC111*1/12</f>
        <v>2036387.5</v>
      </c>
      <c r="AE111" s="73">
        <f>AD111-AD110</f>
        <v>2036387.5</v>
      </c>
      <c r="AF111" s="81">
        <f>P111-P110</f>
        <v>23202040</v>
      </c>
      <c r="AG111" s="80">
        <f t="shared" ref="AG111:AG122" si="104">+P111-AF111-P110</f>
        <v>0</v>
      </c>
      <c r="AH111" s="99">
        <f t="shared" ref="AH111:AH122" si="105">IF(D111&gt;=12000000,12000000*1%,D111*1%)</f>
        <v>120000</v>
      </c>
      <c r="AI111" s="82">
        <f>D111+I111+N111-AE111-T111-AH111+E111</f>
        <v>19900836.5</v>
      </c>
      <c r="AL111" s="83">
        <v>7293979.166666667</v>
      </c>
      <c r="AM111" s="83"/>
    </row>
    <row r="112" spans="1:39">
      <c r="A112" s="78" t="s">
        <v>100</v>
      </c>
      <c r="B112" s="104" t="s">
        <v>113</v>
      </c>
      <c r="C112" s="105"/>
      <c r="D112" s="73">
        <v>22600000</v>
      </c>
      <c r="E112" s="131"/>
      <c r="F112" s="73"/>
      <c r="G112" s="73"/>
      <c r="H112" s="73">
        <v>0</v>
      </c>
      <c r="I112" s="75">
        <f t="shared" si="96"/>
        <v>0</v>
      </c>
      <c r="J112" s="75">
        <f t="shared" ref="J112:J122" si="106">+D112+I112+E112</f>
        <v>22600000</v>
      </c>
      <c r="K112" s="75">
        <f>(0.24%*D112)+(D112*0.3%)</f>
        <v>122040</v>
      </c>
      <c r="L112" s="75">
        <f t="shared" si="97"/>
        <v>480000</v>
      </c>
      <c r="M112" s="75">
        <f t="shared" si="98"/>
        <v>46404080</v>
      </c>
      <c r="N112" s="75"/>
      <c r="O112" s="75">
        <f t="shared" ref="O112:O122" si="107">+N112+O111</f>
        <v>0</v>
      </c>
      <c r="P112" s="75">
        <f t="shared" ref="P112:P122" si="108">M112+O112</f>
        <v>46404080</v>
      </c>
      <c r="Q112" s="75">
        <f>IF(5%*P112&gt;500000*2,500000*2,5%*P112)</f>
        <v>1000000</v>
      </c>
      <c r="R112" s="75">
        <f>(D112*2%)</f>
        <v>452000</v>
      </c>
      <c r="S112" s="75">
        <f>IF(D112&gt;=9077600,9077600*1%,D112*1%)</f>
        <v>90776</v>
      </c>
      <c r="T112" s="75">
        <f t="shared" ref="T112:T122" si="109">+R112+S112</f>
        <v>542776</v>
      </c>
      <c r="U112" s="75">
        <f t="shared" ref="U112:U122" si="110">+T112+U111</f>
        <v>1085552</v>
      </c>
      <c r="V112" s="75">
        <f t="shared" si="100"/>
        <v>2085552</v>
      </c>
      <c r="W112" s="75">
        <f t="shared" ref="W112:W122" si="111">P112-V112</f>
        <v>44318528</v>
      </c>
      <c r="X112" s="73">
        <f>W112*12/2</f>
        <v>265911168</v>
      </c>
      <c r="Y112" s="75">
        <v>0</v>
      </c>
      <c r="Z112" s="75">
        <f t="shared" si="101"/>
        <v>265911168</v>
      </c>
      <c r="AA112" s="73">
        <f t="shared" si="102"/>
        <v>63000000</v>
      </c>
      <c r="AB112" s="80">
        <f t="shared" si="103"/>
        <v>202911000</v>
      </c>
      <c r="AC112" s="75">
        <f t="shared" ref="AC112:AC122" si="112">IF(AB112&lt;=0,0,IF(AB112&lt;=60000000,0.05*AB112,IF(AB112&lt;=250000000,3000000+(AB112-60000000)*0.15,IF(AB112&lt;=500000000,31500000+(AB112-250000000)*0.25,IF(AB112&lt;=5000000000,94000000+(AB112-500000000)*0.3,IF(AB112&gt;5000000000,1444000000+(AB112-5000000000)*0.35))))))</f>
        <v>24436650</v>
      </c>
      <c r="AD112" s="81">
        <f>AC112*2/12</f>
        <v>4072775</v>
      </c>
      <c r="AE112" s="73">
        <f t="shared" ref="AE112:AE122" si="113">AD112-AD111</f>
        <v>2036387.5</v>
      </c>
      <c r="AF112" s="81">
        <f t="shared" ref="AF112:AF122" si="114">P112-P111</f>
        <v>23202040</v>
      </c>
      <c r="AG112" s="80">
        <f t="shared" si="104"/>
        <v>0</v>
      </c>
      <c r="AH112" s="99">
        <f t="shared" si="105"/>
        <v>120000</v>
      </c>
      <c r="AI112" s="82">
        <f t="shared" ref="AI112:AI122" si="115">D112+I112+N112-AE112-T112-AH112+E112</f>
        <v>19900836.5</v>
      </c>
      <c r="AL112" s="83">
        <v>20000</v>
      </c>
      <c r="AM112" s="83"/>
    </row>
    <row r="113" spans="1:43">
      <c r="A113" s="78" t="s">
        <v>101</v>
      </c>
      <c r="B113" s="104" t="s">
        <v>113</v>
      </c>
      <c r="C113" s="105"/>
      <c r="D113" s="73">
        <v>22600000</v>
      </c>
      <c r="E113" s="131"/>
      <c r="F113" s="73"/>
      <c r="G113" s="73"/>
      <c r="H113" s="73">
        <v>0</v>
      </c>
      <c r="I113" s="75">
        <f t="shared" si="96"/>
        <v>0</v>
      </c>
      <c r="J113" s="75">
        <f t="shared" si="106"/>
        <v>22600000</v>
      </c>
      <c r="K113" s="75">
        <f>(0.24%*D113)+(D113*0.3%)</f>
        <v>122040</v>
      </c>
      <c r="L113" s="75">
        <f t="shared" si="97"/>
        <v>480000</v>
      </c>
      <c r="M113" s="75">
        <f t="shared" si="98"/>
        <v>69606120</v>
      </c>
      <c r="N113" s="75"/>
      <c r="O113" s="75">
        <f t="shared" si="107"/>
        <v>0</v>
      </c>
      <c r="P113" s="75">
        <f t="shared" si="108"/>
        <v>69606120</v>
      </c>
      <c r="Q113" s="75">
        <f>IF(5%*P113&gt;500000*3,500000*3,5%*P113)</f>
        <v>1500000</v>
      </c>
      <c r="R113" s="75">
        <f>(D113*2%)</f>
        <v>452000</v>
      </c>
      <c r="S113" s="75">
        <f>IF(D113&gt;=9077600,9077600*1%,D113*1%)</f>
        <v>90776</v>
      </c>
      <c r="T113" s="75">
        <f t="shared" si="109"/>
        <v>542776</v>
      </c>
      <c r="U113" s="75">
        <f t="shared" si="110"/>
        <v>1628328</v>
      </c>
      <c r="V113" s="75">
        <f t="shared" si="100"/>
        <v>3128328</v>
      </c>
      <c r="W113" s="75">
        <f t="shared" si="111"/>
        <v>66477792</v>
      </c>
      <c r="X113" s="73">
        <f>W113*12/3</f>
        <v>265911168</v>
      </c>
      <c r="Y113" s="75">
        <v>0</v>
      </c>
      <c r="Z113" s="75">
        <f t="shared" si="101"/>
        <v>265911168</v>
      </c>
      <c r="AA113" s="73">
        <f t="shared" si="102"/>
        <v>63000000</v>
      </c>
      <c r="AB113" s="80">
        <f t="shared" si="103"/>
        <v>202911000</v>
      </c>
      <c r="AC113" s="75">
        <f t="shared" si="112"/>
        <v>24436650</v>
      </c>
      <c r="AD113" s="81">
        <f>AC113*3/12</f>
        <v>6109162.5</v>
      </c>
      <c r="AE113" s="73">
        <f t="shared" si="113"/>
        <v>2036387.5</v>
      </c>
      <c r="AF113" s="81">
        <f t="shared" si="114"/>
        <v>23202040</v>
      </c>
      <c r="AG113" s="80">
        <f t="shared" si="104"/>
        <v>0</v>
      </c>
      <c r="AH113" s="99">
        <f t="shared" si="105"/>
        <v>120000</v>
      </c>
      <c r="AI113" s="82">
        <f t="shared" si="115"/>
        <v>19900836.5</v>
      </c>
      <c r="AL113" s="83">
        <v>300</v>
      </c>
      <c r="AM113" s="83"/>
    </row>
    <row r="114" spans="1:43">
      <c r="A114" s="78" t="s">
        <v>102</v>
      </c>
      <c r="B114" s="104" t="s">
        <v>113</v>
      </c>
      <c r="C114" s="105"/>
      <c r="D114" s="73">
        <v>22600000</v>
      </c>
      <c r="E114" s="131"/>
      <c r="F114" s="73"/>
      <c r="G114" s="73"/>
      <c r="H114" s="73">
        <v>0</v>
      </c>
      <c r="I114" s="75">
        <f t="shared" si="96"/>
        <v>0</v>
      </c>
      <c r="J114" s="75">
        <f t="shared" si="106"/>
        <v>22600000</v>
      </c>
      <c r="K114" s="75">
        <f>(0.24%*D114)+(D114*0.3%)</f>
        <v>122040</v>
      </c>
      <c r="L114" s="75">
        <f t="shared" si="97"/>
        <v>480000</v>
      </c>
      <c r="M114" s="75">
        <f t="shared" si="98"/>
        <v>92808160</v>
      </c>
      <c r="N114" s="75"/>
      <c r="O114" s="75">
        <f t="shared" si="107"/>
        <v>0</v>
      </c>
      <c r="P114" s="75">
        <f t="shared" si="108"/>
        <v>92808160</v>
      </c>
      <c r="Q114" s="75">
        <f>IF(5%*P114&gt;500000*4,500000*4,5%*P114)</f>
        <v>2000000</v>
      </c>
      <c r="R114" s="75">
        <f>(D114*2%)</f>
        <v>452000</v>
      </c>
      <c r="S114" s="75">
        <f>IF(D114&gt;=9077600,9077600*1%,D114*1%)</f>
        <v>90776</v>
      </c>
      <c r="T114" s="75">
        <f t="shared" si="109"/>
        <v>542776</v>
      </c>
      <c r="U114" s="75">
        <f t="shared" si="110"/>
        <v>2171104</v>
      </c>
      <c r="V114" s="75">
        <f t="shared" si="100"/>
        <v>4171104</v>
      </c>
      <c r="W114" s="75">
        <f t="shared" si="111"/>
        <v>88637056</v>
      </c>
      <c r="X114" s="73">
        <f>W114*12/4</f>
        <v>265911168</v>
      </c>
      <c r="Y114" s="75">
        <v>0</v>
      </c>
      <c r="Z114" s="75">
        <f t="shared" si="101"/>
        <v>265911168</v>
      </c>
      <c r="AA114" s="73">
        <f t="shared" si="102"/>
        <v>63000000</v>
      </c>
      <c r="AB114" s="80">
        <f t="shared" si="103"/>
        <v>202911000</v>
      </c>
      <c r="AC114" s="75">
        <f t="shared" si="112"/>
        <v>24436650</v>
      </c>
      <c r="AD114" s="81">
        <f>AC114*4/12</f>
        <v>8145550</v>
      </c>
      <c r="AE114" s="73">
        <f t="shared" si="113"/>
        <v>2036387.5</v>
      </c>
      <c r="AF114" s="81">
        <f t="shared" si="114"/>
        <v>23202040</v>
      </c>
      <c r="AG114" s="80">
        <f t="shared" si="104"/>
        <v>0</v>
      </c>
      <c r="AH114" s="99">
        <f t="shared" si="105"/>
        <v>120000</v>
      </c>
      <c r="AI114" s="82">
        <f t="shared" si="115"/>
        <v>19900836.5</v>
      </c>
      <c r="AL114" s="83">
        <v>650</v>
      </c>
      <c r="AM114" s="83"/>
    </row>
    <row r="115" spans="1:43" s="207" customFormat="1">
      <c r="A115" s="198" t="s">
        <v>103</v>
      </c>
      <c r="B115" s="199" t="s">
        <v>113</v>
      </c>
      <c r="C115" s="200"/>
      <c r="D115" s="201">
        <v>24000000</v>
      </c>
      <c r="E115" s="201">
        <f>(D115-D114)*4</f>
        <v>5600000</v>
      </c>
      <c r="F115" s="201"/>
      <c r="G115" s="201"/>
      <c r="H115" s="201">
        <v>0</v>
      </c>
      <c r="I115" s="202">
        <f t="shared" si="96"/>
        <v>0</v>
      </c>
      <c r="J115" s="202">
        <f t="shared" si="106"/>
        <v>29600000</v>
      </c>
      <c r="K115" s="202">
        <f>(0.24%*(D115+E115))+((D115+E115)*0.3%)</f>
        <v>159840</v>
      </c>
      <c r="L115" s="202">
        <f t="shared" si="97"/>
        <v>480000</v>
      </c>
      <c r="M115" s="202">
        <f t="shared" si="98"/>
        <v>117448000</v>
      </c>
      <c r="N115" s="202"/>
      <c r="O115" s="202">
        <f t="shared" si="107"/>
        <v>0</v>
      </c>
      <c r="P115" s="202">
        <f t="shared" si="108"/>
        <v>117448000</v>
      </c>
      <c r="Q115" s="202">
        <f>IF(5%*P115&gt;500000*5,500000*5,5%*P115)</f>
        <v>2500000</v>
      </c>
      <c r="R115" s="202">
        <f>((D115+E115)*2%)</f>
        <v>592000</v>
      </c>
      <c r="S115" s="202">
        <f>IF(D115&gt;=9077600,9077600*1%,(D115+E115)*1%)</f>
        <v>90776</v>
      </c>
      <c r="T115" s="202">
        <f t="shared" si="109"/>
        <v>682776</v>
      </c>
      <c r="U115" s="202">
        <f t="shared" si="110"/>
        <v>2853880</v>
      </c>
      <c r="V115" s="202">
        <f t="shared" si="100"/>
        <v>5353880</v>
      </c>
      <c r="W115" s="202">
        <f t="shared" si="111"/>
        <v>112094120</v>
      </c>
      <c r="X115" s="201">
        <f>W115*12/5</f>
        <v>269025888</v>
      </c>
      <c r="Y115" s="202">
        <v>0</v>
      </c>
      <c r="Z115" s="202">
        <f t="shared" si="101"/>
        <v>269025888</v>
      </c>
      <c r="AA115" s="201">
        <f t="shared" si="102"/>
        <v>63000000</v>
      </c>
      <c r="AB115" s="203">
        <f t="shared" si="103"/>
        <v>206025000</v>
      </c>
      <c r="AC115" s="202">
        <f t="shared" si="112"/>
        <v>24903750</v>
      </c>
      <c r="AD115" s="204">
        <f>AC115*5/12</f>
        <v>10376562.5</v>
      </c>
      <c r="AE115" s="201">
        <f t="shared" si="113"/>
        <v>2231012.5</v>
      </c>
      <c r="AF115" s="204">
        <f t="shared" si="114"/>
        <v>24639840</v>
      </c>
      <c r="AG115" s="203">
        <f t="shared" si="104"/>
        <v>0</v>
      </c>
      <c r="AH115" s="205">
        <f t="shared" si="105"/>
        <v>120000</v>
      </c>
      <c r="AI115" s="206">
        <f t="shared" si="115"/>
        <v>26566211.5</v>
      </c>
      <c r="AL115" s="208">
        <v>1500</v>
      </c>
      <c r="AM115" s="208"/>
      <c r="AO115" s="208"/>
      <c r="AP115" s="208"/>
      <c r="AQ115" s="208"/>
    </row>
    <row r="116" spans="1:43">
      <c r="A116" s="78" t="s">
        <v>104</v>
      </c>
      <c r="B116" s="104" t="s">
        <v>113</v>
      </c>
      <c r="C116" s="105"/>
      <c r="D116" s="73">
        <v>24000000</v>
      </c>
      <c r="E116" s="132"/>
      <c r="F116" s="73"/>
      <c r="G116" s="73"/>
      <c r="H116" s="73">
        <v>0</v>
      </c>
      <c r="I116" s="75">
        <f t="shared" si="96"/>
        <v>0</v>
      </c>
      <c r="J116" s="75">
        <f t="shared" si="106"/>
        <v>24000000</v>
      </c>
      <c r="K116" s="75">
        <f t="shared" ref="K116:K122" si="116">(0.24%*(D116+E116))+((D116+E116)*0.3%)</f>
        <v>129600</v>
      </c>
      <c r="L116" s="75">
        <f t="shared" si="97"/>
        <v>480000</v>
      </c>
      <c r="M116" s="75">
        <f t="shared" si="98"/>
        <v>142057600</v>
      </c>
      <c r="N116" s="75"/>
      <c r="O116" s="75">
        <f t="shared" si="107"/>
        <v>0</v>
      </c>
      <c r="P116" s="75">
        <f t="shared" si="108"/>
        <v>142057600</v>
      </c>
      <c r="Q116" s="75">
        <f>IF(5%*P116&gt;500000*6,500000*6,5%*P116)</f>
        <v>3000000</v>
      </c>
      <c r="R116" s="75">
        <f t="shared" ref="R116:R122" si="117">((D116+E116)*2%)</f>
        <v>480000</v>
      </c>
      <c r="S116" s="75">
        <f t="shared" ref="S116:S122" si="118">IF(D116&gt;=9077600,9077600*1%,(D116+E116)*1%)</f>
        <v>90776</v>
      </c>
      <c r="T116" s="75">
        <f t="shared" si="109"/>
        <v>570776</v>
      </c>
      <c r="U116" s="75">
        <f t="shared" si="110"/>
        <v>3424656</v>
      </c>
      <c r="V116" s="75">
        <f t="shared" si="100"/>
        <v>6424656</v>
      </c>
      <c r="W116" s="75">
        <f t="shared" si="111"/>
        <v>135632944</v>
      </c>
      <c r="X116" s="73">
        <f>W116*12/6</f>
        <v>271265888</v>
      </c>
      <c r="Y116" s="75">
        <v>0</v>
      </c>
      <c r="Z116" s="75">
        <f t="shared" si="101"/>
        <v>271265888</v>
      </c>
      <c r="AA116" s="73">
        <f t="shared" si="102"/>
        <v>63000000</v>
      </c>
      <c r="AB116" s="80">
        <f t="shared" si="103"/>
        <v>208265000</v>
      </c>
      <c r="AC116" s="75">
        <f t="shared" si="112"/>
        <v>25239750</v>
      </c>
      <c r="AD116" s="81">
        <f>AC116*6/12</f>
        <v>12619875</v>
      </c>
      <c r="AE116" s="73">
        <f t="shared" si="113"/>
        <v>2243312.5</v>
      </c>
      <c r="AF116" s="81">
        <f t="shared" si="114"/>
        <v>24609600</v>
      </c>
      <c r="AG116" s="80">
        <f t="shared" si="104"/>
        <v>0</v>
      </c>
      <c r="AH116" s="99">
        <f t="shared" si="105"/>
        <v>120000</v>
      </c>
      <c r="AI116" s="82">
        <f t="shared" si="115"/>
        <v>21065911.5</v>
      </c>
      <c r="AL116" s="84">
        <v>150</v>
      </c>
      <c r="AM116" s="83"/>
    </row>
    <row r="117" spans="1:43">
      <c r="A117" s="78" t="s">
        <v>105</v>
      </c>
      <c r="B117" s="104" t="s">
        <v>113</v>
      </c>
      <c r="C117" s="105"/>
      <c r="D117" s="73">
        <v>24000000</v>
      </c>
      <c r="E117" s="131"/>
      <c r="F117" s="73"/>
      <c r="G117" s="73"/>
      <c r="H117" s="73">
        <v>0</v>
      </c>
      <c r="I117" s="75">
        <f t="shared" si="96"/>
        <v>0</v>
      </c>
      <c r="J117" s="75">
        <f t="shared" si="106"/>
        <v>24000000</v>
      </c>
      <c r="K117" s="75">
        <f t="shared" si="116"/>
        <v>129600</v>
      </c>
      <c r="L117" s="75">
        <f t="shared" si="97"/>
        <v>480000</v>
      </c>
      <c r="M117" s="75">
        <f t="shared" si="98"/>
        <v>166667200</v>
      </c>
      <c r="N117" s="75"/>
      <c r="O117" s="75">
        <f t="shared" si="107"/>
        <v>0</v>
      </c>
      <c r="P117" s="75">
        <f t="shared" si="108"/>
        <v>166667200</v>
      </c>
      <c r="Q117" s="75">
        <f>IF(5%*P117&gt;500000*7,500000*7,5%*P117)</f>
        <v>3500000</v>
      </c>
      <c r="R117" s="75">
        <f t="shared" si="117"/>
        <v>480000</v>
      </c>
      <c r="S117" s="75">
        <f t="shared" si="118"/>
        <v>90776</v>
      </c>
      <c r="T117" s="75">
        <f t="shared" si="109"/>
        <v>570776</v>
      </c>
      <c r="U117" s="75">
        <f t="shared" si="110"/>
        <v>3995432</v>
      </c>
      <c r="V117" s="75">
        <f t="shared" si="100"/>
        <v>7495432</v>
      </c>
      <c r="W117" s="75">
        <f t="shared" si="111"/>
        <v>159171768</v>
      </c>
      <c r="X117" s="73">
        <f>W117*12/7</f>
        <v>272865888</v>
      </c>
      <c r="Y117" s="75">
        <v>0</v>
      </c>
      <c r="Z117" s="75">
        <f t="shared" si="101"/>
        <v>272865888</v>
      </c>
      <c r="AA117" s="73">
        <f t="shared" si="102"/>
        <v>63000000</v>
      </c>
      <c r="AB117" s="80">
        <f t="shared" si="103"/>
        <v>209865000</v>
      </c>
      <c r="AC117" s="75">
        <f t="shared" si="112"/>
        <v>25479750</v>
      </c>
      <c r="AD117" s="81">
        <f>AC117*7/12</f>
        <v>14863187.5</v>
      </c>
      <c r="AE117" s="73">
        <f t="shared" si="113"/>
        <v>2243312.5</v>
      </c>
      <c r="AF117" s="81">
        <f t="shared" si="114"/>
        <v>24609600</v>
      </c>
      <c r="AG117" s="80">
        <f t="shared" si="104"/>
        <v>0</v>
      </c>
      <c r="AH117" s="99">
        <f t="shared" si="105"/>
        <v>120000</v>
      </c>
      <c r="AI117" s="82">
        <f t="shared" si="115"/>
        <v>21065911.5</v>
      </c>
      <c r="AL117" s="84"/>
      <c r="AM117" s="83"/>
    </row>
    <row r="118" spans="1:43">
      <c r="A118" s="78" t="s">
        <v>106</v>
      </c>
      <c r="B118" s="104" t="s">
        <v>113</v>
      </c>
      <c r="C118" s="105"/>
      <c r="D118" s="73">
        <v>24000000</v>
      </c>
      <c r="E118" s="131"/>
      <c r="F118" s="73"/>
      <c r="G118" s="73"/>
      <c r="H118" s="73">
        <v>0</v>
      </c>
      <c r="I118" s="75">
        <f t="shared" si="96"/>
        <v>0</v>
      </c>
      <c r="J118" s="75">
        <f t="shared" si="106"/>
        <v>24000000</v>
      </c>
      <c r="K118" s="75">
        <f t="shared" si="116"/>
        <v>129600</v>
      </c>
      <c r="L118" s="75">
        <f t="shared" si="97"/>
        <v>480000</v>
      </c>
      <c r="M118" s="75">
        <f t="shared" si="98"/>
        <v>191276800</v>
      </c>
      <c r="N118" s="75"/>
      <c r="O118" s="75">
        <f t="shared" si="107"/>
        <v>0</v>
      </c>
      <c r="P118" s="75">
        <f t="shared" si="108"/>
        <v>191276800</v>
      </c>
      <c r="Q118" s="75">
        <f>IF(5%*P118&gt;500000*8,500000*8,5%*P118)</f>
        <v>4000000</v>
      </c>
      <c r="R118" s="75">
        <f t="shared" si="117"/>
        <v>480000</v>
      </c>
      <c r="S118" s="75">
        <f t="shared" si="118"/>
        <v>90776</v>
      </c>
      <c r="T118" s="75">
        <f t="shared" si="109"/>
        <v>570776</v>
      </c>
      <c r="U118" s="75">
        <f t="shared" si="110"/>
        <v>4566208</v>
      </c>
      <c r="V118" s="75">
        <f t="shared" si="100"/>
        <v>8566208</v>
      </c>
      <c r="W118" s="75">
        <f t="shared" si="111"/>
        <v>182710592</v>
      </c>
      <c r="X118" s="73">
        <f>W118*12/8</f>
        <v>274065888</v>
      </c>
      <c r="Y118" s="75">
        <v>0</v>
      </c>
      <c r="Z118" s="75">
        <f t="shared" si="101"/>
        <v>274065888</v>
      </c>
      <c r="AA118" s="73">
        <f t="shared" si="102"/>
        <v>63000000</v>
      </c>
      <c r="AB118" s="80">
        <f t="shared" si="103"/>
        <v>211065000</v>
      </c>
      <c r="AC118" s="75">
        <f t="shared" si="112"/>
        <v>25659750</v>
      </c>
      <c r="AD118" s="81">
        <f>AC118*8/12</f>
        <v>17106500</v>
      </c>
      <c r="AE118" s="73">
        <f t="shared" si="113"/>
        <v>2243312.5</v>
      </c>
      <c r="AF118" s="81">
        <f t="shared" si="114"/>
        <v>24609600</v>
      </c>
      <c r="AG118" s="80">
        <f t="shared" si="104"/>
        <v>0</v>
      </c>
      <c r="AH118" s="99">
        <f t="shared" si="105"/>
        <v>120000</v>
      </c>
      <c r="AI118" s="82">
        <f t="shared" si="115"/>
        <v>21065911.5</v>
      </c>
      <c r="AL118" s="84"/>
      <c r="AM118" s="83"/>
    </row>
    <row r="119" spans="1:43">
      <c r="A119" s="78" t="s">
        <v>107</v>
      </c>
      <c r="B119" s="104" t="s">
        <v>113</v>
      </c>
      <c r="C119" s="105"/>
      <c r="D119" s="73">
        <v>24000000</v>
      </c>
      <c r="E119" s="131"/>
      <c r="F119" s="73"/>
      <c r="G119" s="73"/>
      <c r="H119" s="73">
        <v>0</v>
      </c>
      <c r="I119" s="75">
        <f t="shared" si="96"/>
        <v>0</v>
      </c>
      <c r="J119" s="75">
        <f t="shared" si="106"/>
        <v>24000000</v>
      </c>
      <c r="K119" s="75">
        <f t="shared" si="116"/>
        <v>129600</v>
      </c>
      <c r="L119" s="75">
        <f t="shared" si="97"/>
        <v>480000</v>
      </c>
      <c r="M119" s="75">
        <f t="shared" si="98"/>
        <v>215886400</v>
      </c>
      <c r="N119" s="75"/>
      <c r="O119" s="75">
        <f t="shared" si="107"/>
        <v>0</v>
      </c>
      <c r="P119" s="75">
        <f t="shared" si="108"/>
        <v>215886400</v>
      </c>
      <c r="Q119" s="75">
        <f>IF(5%*P119&gt;500000*9,500000*9,5%*P119)</f>
        <v>4500000</v>
      </c>
      <c r="R119" s="75">
        <f t="shared" si="117"/>
        <v>480000</v>
      </c>
      <c r="S119" s="75">
        <f t="shared" si="118"/>
        <v>90776</v>
      </c>
      <c r="T119" s="75">
        <f t="shared" si="109"/>
        <v>570776</v>
      </c>
      <c r="U119" s="75">
        <f t="shared" si="110"/>
        <v>5136984</v>
      </c>
      <c r="V119" s="75">
        <f t="shared" si="100"/>
        <v>9636984</v>
      </c>
      <c r="W119" s="75">
        <f t="shared" si="111"/>
        <v>206249416</v>
      </c>
      <c r="X119" s="73">
        <f>W119*12/9</f>
        <v>274999221.33333331</v>
      </c>
      <c r="Y119" s="75">
        <v>0</v>
      </c>
      <c r="Z119" s="75">
        <f t="shared" si="101"/>
        <v>274999221.33333331</v>
      </c>
      <c r="AA119" s="73">
        <f t="shared" si="102"/>
        <v>63000000</v>
      </c>
      <c r="AB119" s="80">
        <f t="shared" si="103"/>
        <v>211999000</v>
      </c>
      <c r="AC119" s="75">
        <f t="shared" si="112"/>
        <v>25799850</v>
      </c>
      <c r="AD119" s="81">
        <f>AC119*9/12</f>
        <v>19349887.5</v>
      </c>
      <c r="AE119" s="73">
        <f t="shared" si="113"/>
        <v>2243387.5</v>
      </c>
      <c r="AF119" s="81">
        <f t="shared" si="114"/>
        <v>24609600</v>
      </c>
      <c r="AG119" s="80">
        <f t="shared" si="104"/>
        <v>0</v>
      </c>
      <c r="AH119" s="99">
        <f t="shared" si="105"/>
        <v>120000</v>
      </c>
      <c r="AI119" s="82">
        <f t="shared" si="115"/>
        <v>21065836.5</v>
      </c>
    </row>
    <row r="120" spans="1:43">
      <c r="A120" s="78" t="s">
        <v>108</v>
      </c>
      <c r="B120" s="104" t="s">
        <v>113</v>
      </c>
      <c r="C120" s="105"/>
      <c r="D120" s="73">
        <v>24000000</v>
      </c>
      <c r="E120" s="131"/>
      <c r="F120" s="73"/>
      <c r="G120" s="73"/>
      <c r="H120" s="73">
        <v>0</v>
      </c>
      <c r="I120" s="75">
        <f t="shared" si="96"/>
        <v>0</v>
      </c>
      <c r="J120" s="75">
        <f t="shared" si="106"/>
        <v>24000000</v>
      </c>
      <c r="K120" s="75">
        <f t="shared" si="116"/>
        <v>129600</v>
      </c>
      <c r="L120" s="75">
        <f t="shared" si="97"/>
        <v>480000</v>
      </c>
      <c r="M120" s="75">
        <f t="shared" si="98"/>
        <v>240496000</v>
      </c>
      <c r="N120" s="75"/>
      <c r="O120" s="75">
        <f t="shared" si="107"/>
        <v>0</v>
      </c>
      <c r="P120" s="75">
        <f t="shared" si="108"/>
        <v>240496000</v>
      </c>
      <c r="Q120" s="75">
        <f>IF(5%*P120&gt;500000*10,500000*10,5%*P120)</f>
        <v>5000000</v>
      </c>
      <c r="R120" s="75">
        <f t="shared" si="117"/>
        <v>480000</v>
      </c>
      <c r="S120" s="75">
        <f t="shared" si="118"/>
        <v>90776</v>
      </c>
      <c r="T120" s="75">
        <f t="shared" si="109"/>
        <v>570776</v>
      </c>
      <c r="U120" s="75">
        <f t="shared" si="110"/>
        <v>5707760</v>
      </c>
      <c r="V120" s="75">
        <f t="shared" si="100"/>
        <v>10707760</v>
      </c>
      <c r="W120" s="75">
        <f t="shared" si="111"/>
        <v>229788240</v>
      </c>
      <c r="X120" s="73">
        <f>W120*12/10</f>
        <v>275745888</v>
      </c>
      <c r="Y120" s="75">
        <v>0</v>
      </c>
      <c r="Z120" s="75">
        <f t="shared" si="101"/>
        <v>275745888</v>
      </c>
      <c r="AA120" s="73">
        <f t="shared" si="102"/>
        <v>63000000</v>
      </c>
      <c r="AB120" s="80">
        <f t="shared" si="103"/>
        <v>212745000</v>
      </c>
      <c r="AC120" s="75">
        <f t="shared" si="112"/>
        <v>25911750</v>
      </c>
      <c r="AD120" s="81">
        <f>AC120*10/12</f>
        <v>21593125</v>
      </c>
      <c r="AE120" s="73">
        <f t="shared" si="113"/>
        <v>2243237.5</v>
      </c>
      <c r="AF120" s="81">
        <f t="shared" si="114"/>
        <v>24609600</v>
      </c>
      <c r="AG120" s="80">
        <f t="shared" si="104"/>
        <v>0</v>
      </c>
      <c r="AH120" s="99">
        <f t="shared" si="105"/>
        <v>120000</v>
      </c>
      <c r="AI120" s="82">
        <f t="shared" si="115"/>
        <v>21065986.5</v>
      </c>
    </row>
    <row r="121" spans="1:43">
      <c r="A121" s="78" t="s">
        <v>109</v>
      </c>
      <c r="B121" s="104" t="s">
        <v>113</v>
      </c>
      <c r="C121" s="105"/>
      <c r="D121" s="73">
        <v>24000000</v>
      </c>
      <c r="E121" s="131"/>
      <c r="F121" s="73"/>
      <c r="G121" s="73"/>
      <c r="H121" s="73">
        <v>0</v>
      </c>
      <c r="I121" s="75">
        <f t="shared" si="96"/>
        <v>0</v>
      </c>
      <c r="J121" s="75">
        <f t="shared" si="106"/>
        <v>24000000</v>
      </c>
      <c r="K121" s="75">
        <f t="shared" si="116"/>
        <v>129600</v>
      </c>
      <c r="L121" s="75">
        <f t="shared" si="97"/>
        <v>480000</v>
      </c>
      <c r="M121" s="75">
        <f t="shared" si="98"/>
        <v>265105600</v>
      </c>
      <c r="N121" s="75"/>
      <c r="O121" s="75">
        <f t="shared" si="107"/>
        <v>0</v>
      </c>
      <c r="P121" s="75">
        <f t="shared" si="108"/>
        <v>265105600</v>
      </c>
      <c r="Q121" s="75">
        <f>IF(5%*P121&gt;500000*11,500000*11,5%*P121)</f>
        <v>5500000</v>
      </c>
      <c r="R121" s="75">
        <f t="shared" si="117"/>
        <v>480000</v>
      </c>
      <c r="S121" s="75">
        <f t="shared" si="118"/>
        <v>90776</v>
      </c>
      <c r="T121" s="75">
        <f t="shared" si="109"/>
        <v>570776</v>
      </c>
      <c r="U121" s="75">
        <f t="shared" si="110"/>
        <v>6278536</v>
      </c>
      <c r="V121" s="75">
        <f t="shared" si="100"/>
        <v>11778536</v>
      </c>
      <c r="W121" s="75">
        <f t="shared" si="111"/>
        <v>253327064</v>
      </c>
      <c r="X121" s="73">
        <f>W121*12/11</f>
        <v>276356797.09090906</v>
      </c>
      <c r="Y121" s="75">
        <v>0</v>
      </c>
      <c r="Z121" s="75">
        <f t="shared" si="101"/>
        <v>276356797.09090906</v>
      </c>
      <c r="AA121" s="73">
        <f t="shared" si="102"/>
        <v>63000000</v>
      </c>
      <c r="AB121" s="80">
        <f t="shared" si="103"/>
        <v>213356000</v>
      </c>
      <c r="AC121" s="75">
        <f t="shared" si="112"/>
        <v>26003400</v>
      </c>
      <c r="AD121" s="81">
        <f>AC121*11/12</f>
        <v>23836450</v>
      </c>
      <c r="AE121" s="73">
        <f t="shared" si="113"/>
        <v>2243325</v>
      </c>
      <c r="AF121" s="81">
        <f t="shared" si="114"/>
        <v>24609600</v>
      </c>
      <c r="AG121" s="80">
        <f t="shared" si="104"/>
        <v>0</v>
      </c>
      <c r="AH121" s="99">
        <f t="shared" si="105"/>
        <v>120000</v>
      </c>
      <c r="AI121" s="82">
        <f t="shared" si="115"/>
        <v>21065899</v>
      </c>
    </row>
    <row r="122" spans="1:43">
      <c r="A122" s="85" t="s">
        <v>110</v>
      </c>
      <c r="B122" s="104" t="s">
        <v>113</v>
      </c>
      <c r="C122" s="105"/>
      <c r="D122" s="73">
        <v>24000000</v>
      </c>
      <c r="E122" s="131"/>
      <c r="F122" s="73"/>
      <c r="G122" s="73"/>
      <c r="H122" s="73">
        <v>0</v>
      </c>
      <c r="I122" s="75">
        <f t="shared" si="96"/>
        <v>0</v>
      </c>
      <c r="J122" s="75">
        <f t="shared" si="106"/>
        <v>24000000</v>
      </c>
      <c r="K122" s="75">
        <f t="shared" si="116"/>
        <v>129600</v>
      </c>
      <c r="L122" s="75">
        <f t="shared" si="97"/>
        <v>480000</v>
      </c>
      <c r="M122" s="75">
        <f t="shared" si="98"/>
        <v>289715200</v>
      </c>
      <c r="N122" s="75"/>
      <c r="O122" s="75">
        <f t="shared" si="107"/>
        <v>0</v>
      </c>
      <c r="P122" s="75">
        <f t="shared" si="108"/>
        <v>289715200</v>
      </c>
      <c r="Q122" s="75">
        <f>IF(5%*P122&gt;500000*12,500000*12,5%*P122)</f>
        <v>6000000</v>
      </c>
      <c r="R122" s="75">
        <f t="shared" si="117"/>
        <v>480000</v>
      </c>
      <c r="S122" s="75">
        <f t="shared" si="118"/>
        <v>90776</v>
      </c>
      <c r="T122" s="75">
        <f t="shared" si="109"/>
        <v>570776</v>
      </c>
      <c r="U122" s="75">
        <f t="shared" si="110"/>
        <v>6849312</v>
      </c>
      <c r="V122" s="75">
        <f t="shared" si="100"/>
        <v>12849312</v>
      </c>
      <c r="W122" s="75">
        <f t="shared" si="111"/>
        <v>276865888</v>
      </c>
      <c r="X122" s="73">
        <f>W122*12/12</f>
        <v>276865888</v>
      </c>
      <c r="Y122" s="75">
        <v>0</v>
      </c>
      <c r="Z122" s="75">
        <f t="shared" si="101"/>
        <v>276865888</v>
      </c>
      <c r="AA122" s="73">
        <f t="shared" si="102"/>
        <v>63000000</v>
      </c>
      <c r="AB122" s="80">
        <f t="shared" si="103"/>
        <v>213865000</v>
      </c>
      <c r="AC122" s="75">
        <f t="shared" si="112"/>
        <v>26079750</v>
      </c>
      <c r="AD122" s="81">
        <f>AC122*12/12</f>
        <v>26079750</v>
      </c>
      <c r="AE122" s="73">
        <f t="shared" si="113"/>
        <v>2243300</v>
      </c>
      <c r="AF122" s="81">
        <f t="shared" si="114"/>
        <v>24609600</v>
      </c>
      <c r="AG122" s="80">
        <f t="shared" si="104"/>
        <v>0</v>
      </c>
      <c r="AH122" s="99">
        <f t="shared" si="105"/>
        <v>120000</v>
      </c>
      <c r="AI122" s="82">
        <f t="shared" si="115"/>
        <v>21065924</v>
      </c>
    </row>
    <row r="123" spans="1:43" ht="13.5" thickBot="1">
      <c r="A123" s="86" t="s">
        <v>111</v>
      </c>
      <c r="B123" s="86"/>
      <c r="C123" s="86"/>
      <c r="D123" s="87">
        <f t="shared" ref="D123:J123" si="119">SUM(D111:D122)</f>
        <v>282400000</v>
      </c>
      <c r="E123" s="87"/>
      <c r="F123" s="87">
        <f t="shared" si="119"/>
        <v>0</v>
      </c>
      <c r="G123" s="87">
        <f t="shared" si="119"/>
        <v>0</v>
      </c>
      <c r="H123" s="87">
        <f t="shared" si="119"/>
        <v>0</v>
      </c>
      <c r="I123" s="87">
        <f t="shared" si="119"/>
        <v>0</v>
      </c>
      <c r="J123" s="87">
        <f t="shared" si="119"/>
        <v>288000000</v>
      </c>
      <c r="K123" s="87">
        <f>SUM(K111:K122)</f>
        <v>1555200</v>
      </c>
      <c r="L123" s="87">
        <f>SUM(L111:L122)</f>
        <v>5760000</v>
      </c>
      <c r="M123" s="87">
        <f>+D123+I123+K123+L123</f>
        <v>289715200</v>
      </c>
      <c r="N123" s="87">
        <f>SUM(N111:N122)</f>
        <v>0</v>
      </c>
      <c r="O123" s="87">
        <f>+O122</f>
        <v>0</v>
      </c>
      <c r="P123" s="87">
        <f>+M123+O123</f>
        <v>289715200</v>
      </c>
      <c r="Q123" s="88">
        <f>Q122</f>
        <v>6000000</v>
      </c>
      <c r="R123" s="87">
        <f>SUM(R111:R122)</f>
        <v>5760000</v>
      </c>
      <c r="S123" s="87">
        <f>SUM(S111:S122)</f>
        <v>1089312</v>
      </c>
      <c r="T123" s="87">
        <f>SUM(T111:T122)</f>
        <v>6849312</v>
      </c>
      <c r="U123" s="88">
        <f>+U122</f>
        <v>6849312</v>
      </c>
      <c r="V123" s="88">
        <f t="shared" si="100"/>
        <v>12849312</v>
      </c>
      <c r="W123" s="88">
        <f>P123-V123</f>
        <v>276865888</v>
      </c>
      <c r="X123" s="88">
        <f>X122</f>
        <v>276865888</v>
      </c>
      <c r="Y123" s="88">
        <f>+Y122</f>
        <v>0</v>
      </c>
      <c r="Z123" s="88">
        <f>SUM(X123:Y123)</f>
        <v>276865888</v>
      </c>
      <c r="AA123" s="88">
        <f>AA122</f>
        <v>63000000</v>
      </c>
      <c r="AB123" s="89">
        <f>ROUNDDOWN(Z123-AA123,-3)</f>
        <v>213865000</v>
      </c>
      <c r="AC123" s="87">
        <f>IF(AB123&lt;=0,0,IF(AB123&lt;=50000000,0.05*AB123,IF(AB123&lt;=250000000,2500000+(AB123-50000000)*0.15,IF(AB123&lt;=500000000,32500000+(AB123-250000000)*0.25,IF(AB123&gt;500000000,95000000+(AB123-500000000)*0.3)))))</f>
        <v>27079750</v>
      </c>
      <c r="AD123" s="89">
        <f>AC123*12/12</f>
        <v>27079750</v>
      </c>
      <c r="AE123" s="88">
        <f>SUM(AE111:AE122)</f>
        <v>26079750</v>
      </c>
      <c r="AF123" s="90">
        <f>SUM(AF111:AF122)</f>
        <v>289715200</v>
      </c>
      <c r="AG123" s="89">
        <f>SUM(AG111:AG122)</f>
        <v>0</v>
      </c>
      <c r="AH123" s="89"/>
      <c r="AI123" s="91"/>
      <c r="AL123" s="84"/>
      <c r="AM123" s="83"/>
    </row>
    <row r="124" spans="1:43" ht="13.5" thickTop="1"/>
    <row r="127" spans="1:43">
      <c r="A127" s="60" t="s">
        <v>70</v>
      </c>
    </row>
    <row r="128" spans="1:43">
      <c r="A128" s="60" t="s">
        <v>112</v>
      </c>
    </row>
    <row r="129" spans="1:43">
      <c r="A129" s="66" t="s">
        <v>121</v>
      </c>
    </row>
    <row r="130" spans="1:43">
      <c r="A130" s="125"/>
    </row>
    <row r="131" spans="1:43">
      <c r="A131" s="126" t="s">
        <v>267</v>
      </c>
      <c r="B131" s="162"/>
      <c r="C131" s="162"/>
    </row>
    <row r="132" spans="1:43" ht="13.5" thickBot="1">
      <c r="A132" s="126"/>
      <c r="B132" s="162"/>
      <c r="C132" s="162"/>
    </row>
    <row r="133" spans="1:43" ht="27.75" customHeight="1" thickBot="1">
      <c r="A133" s="256" t="s">
        <v>71</v>
      </c>
      <c r="B133" s="256" t="s">
        <v>72</v>
      </c>
      <c r="C133" s="256" t="s">
        <v>73</v>
      </c>
      <c r="D133" s="129" t="s">
        <v>266</v>
      </c>
      <c r="E133" s="129"/>
      <c r="F133" s="258" t="s">
        <v>123</v>
      </c>
      <c r="G133" s="258"/>
      <c r="H133" s="258"/>
      <c r="I133" s="252" t="s">
        <v>124</v>
      </c>
      <c r="J133" s="252" t="s">
        <v>118</v>
      </c>
      <c r="K133" s="254" t="s">
        <v>119</v>
      </c>
      <c r="L133" s="255"/>
      <c r="M133" s="264" t="s">
        <v>75</v>
      </c>
      <c r="N133" s="264" t="s">
        <v>76</v>
      </c>
      <c r="O133" s="264" t="s">
        <v>77</v>
      </c>
      <c r="P133" s="264" t="s">
        <v>78</v>
      </c>
      <c r="Q133" s="268" t="s">
        <v>79</v>
      </c>
      <c r="R133" s="266" t="s">
        <v>117</v>
      </c>
      <c r="S133" s="267"/>
      <c r="T133" s="100"/>
      <c r="U133" s="264" t="s">
        <v>80</v>
      </c>
      <c r="V133" s="264" t="s">
        <v>81</v>
      </c>
      <c r="W133" s="264" t="s">
        <v>82</v>
      </c>
      <c r="X133" s="261" t="s">
        <v>83</v>
      </c>
      <c r="Y133" s="262"/>
      <c r="Z133" s="262"/>
      <c r="AA133" s="262"/>
      <c r="AB133" s="262"/>
      <c r="AC133" s="263"/>
      <c r="AD133" s="264" t="s">
        <v>84</v>
      </c>
      <c r="AE133" s="264" t="s">
        <v>85</v>
      </c>
      <c r="AF133" s="259" t="s">
        <v>86</v>
      </c>
      <c r="AG133" s="259" t="s">
        <v>87</v>
      </c>
      <c r="AH133" s="70"/>
      <c r="AI133" s="259" t="s">
        <v>88</v>
      </c>
    </row>
    <row r="134" spans="1:43" ht="57" customHeight="1">
      <c r="A134" s="257"/>
      <c r="B134" s="257"/>
      <c r="C134" s="257"/>
      <c r="D134" s="111" t="s">
        <v>114</v>
      </c>
      <c r="E134" s="111" t="s">
        <v>260</v>
      </c>
      <c r="F134" s="102" t="s">
        <v>89</v>
      </c>
      <c r="G134" s="102" t="s">
        <v>122</v>
      </c>
      <c r="H134" s="102" t="s">
        <v>74</v>
      </c>
      <c r="I134" s="253"/>
      <c r="J134" s="253"/>
      <c r="K134" s="103" t="s">
        <v>90</v>
      </c>
      <c r="L134" s="103" t="s">
        <v>91</v>
      </c>
      <c r="M134" s="265"/>
      <c r="N134" s="265"/>
      <c r="O134" s="265"/>
      <c r="P134" s="265"/>
      <c r="Q134" s="265"/>
      <c r="R134" s="101" t="s">
        <v>115</v>
      </c>
      <c r="S134" s="101" t="s">
        <v>116</v>
      </c>
      <c r="T134" s="101" t="s">
        <v>125</v>
      </c>
      <c r="U134" s="265"/>
      <c r="V134" s="265"/>
      <c r="W134" s="265"/>
      <c r="X134" s="71" t="s">
        <v>92</v>
      </c>
      <c r="Y134" s="71" t="s">
        <v>93</v>
      </c>
      <c r="Z134" s="71" t="s">
        <v>94</v>
      </c>
      <c r="AA134" s="71" t="s">
        <v>95</v>
      </c>
      <c r="AB134" s="71" t="s">
        <v>96</v>
      </c>
      <c r="AC134" s="71" t="s">
        <v>97</v>
      </c>
      <c r="AD134" s="265"/>
      <c r="AE134" s="265"/>
      <c r="AF134" s="260"/>
      <c r="AG134" s="260"/>
      <c r="AH134" s="72" t="s">
        <v>98</v>
      </c>
      <c r="AI134" s="260"/>
    </row>
    <row r="135" spans="1:43">
      <c r="A135" s="67"/>
      <c r="B135" s="67"/>
      <c r="C135" s="67"/>
      <c r="D135" s="73"/>
      <c r="E135" s="74"/>
      <c r="F135" s="74"/>
      <c r="G135" s="73"/>
      <c r="H135" s="75"/>
      <c r="I135" s="75"/>
      <c r="J135" s="75"/>
      <c r="K135" s="75"/>
      <c r="L135" s="75"/>
      <c r="M135" s="75"/>
      <c r="N135" s="75"/>
      <c r="O135" s="75"/>
      <c r="P135" s="73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5"/>
      <c r="AB135" s="75"/>
      <c r="AC135" s="75"/>
      <c r="AD135" s="75"/>
      <c r="AE135" s="75"/>
      <c r="AF135" s="76"/>
      <c r="AG135" s="77"/>
      <c r="AH135" s="77"/>
      <c r="AI135" s="76"/>
    </row>
    <row r="136" spans="1:43">
      <c r="A136" s="78" t="s">
        <v>99</v>
      </c>
      <c r="B136" s="104" t="s">
        <v>113</v>
      </c>
      <c r="C136" s="105"/>
      <c r="D136" s="73">
        <f>D111</f>
        <v>22600000</v>
      </c>
      <c r="E136" s="73"/>
      <c r="F136" s="73"/>
      <c r="G136" s="79"/>
      <c r="H136" s="73">
        <v>0</v>
      </c>
      <c r="I136" s="75">
        <f t="shared" ref="I136:I147" si="120">SUM(F136:H136)</f>
        <v>0</v>
      </c>
      <c r="J136" s="75">
        <f>+D136+I136+E136</f>
        <v>22600000</v>
      </c>
      <c r="K136" s="75">
        <f>(0.24%*D136)+(D136*0.3%)</f>
        <v>122040</v>
      </c>
      <c r="L136" s="99">
        <f t="shared" ref="L136:L147" si="121">IF(D136&gt;=12000000,12000000*4%,D136*4%)</f>
        <v>480000</v>
      </c>
      <c r="M136" s="75">
        <f t="shared" ref="M136:M147" si="122">+D136+I136+K136+L136+M135</f>
        <v>23202040</v>
      </c>
      <c r="N136" s="73"/>
      <c r="O136" s="75">
        <f>+N136+O135</f>
        <v>0</v>
      </c>
      <c r="P136" s="75">
        <f>M136+O136</f>
        <v>23202040</v>
      </c>
      <c r="Q136" s="75">
        <f>IF(5%*P136&gt;500000*1,500000*1,5%*P136)</f>
        <v>500000</v>
      </c>
      <c r="R136" s="75">
        <f>(D136*2%)</f>
        <v>452000</v>
      </c>
      <c r="S136" s="75">
        <f>IF(D136&gt;=9077600,9077600*1%,D136*1%)</f>
        <v>90776</v>
      </c>
      <c r="T136" s="75">
        <f>+R136+S136</f>
        <v>542776</v>
      </c>
      <c r="U136" s="75">
        <f t="shared" ref="U136" si="123">+R136+S136+U135</f>
        <v>542776</v>
      </c>
      <c r="V136" s="75">
        <f t="shared" ref="V136:V148" si="124">+Q136+U136</f>
        <v>1042776</v>
      </c>
      <c r="W136" s="75">
        <f>P136-V136</f>
        <v>22159264</v>
      </c>
      <c r="X136" s="73">
        <f>W136*12/1</f>
        <v>265911168</v>
      </c>
      <c r="Y136" s="75">
        <v>0</v>
      </c>
      <c r="Z136" s="75">
        <f t="shared" ref="Z136:Z147" si="125">SUM(X136:Y136)</f>
        <v>265911168</v>
      </c>
      <c r="AA136" s="73">
        <f t="shared" ref="AA136:AA147" si="126">IF(B136="S/0",54000000,IF(B136="S/1",58500000,IF(B136="M/0",58500000,IF(B136="M/1",63000000,IF(B136="M/2",67500000,IF(B136="M/3",72000000))))))</f>
        <v>63000000</v>
      </c>
      <c r="AB136" s="80">
        <f t="shared" ref="AB136:AB147" si="127">ROUNDDOWN(Z136-AA136,-3)</f>
        <v>202911000</v>
      </c>
      <c r="AC136" s="75">
        <f>IF(AB136&lt;=0,0,IF(AB136&lt;=60000000,0.05*AB136,IF(AB136&lt;=250000000,3000000+(AB136-60000000)*0.15,IF(AB136&lt;=500000000,31500000+(AB136-250000000)*0.25,IF(AB136&lt;=5000000000,94000000+(AB136-500000000)*0.3,IF(AB136&gt;5000000000,1444000000+(AB136-5000000000)*0.35))))))</f>
        <v>24436650</v>
      </c>
      <c r="AD136" s="81">
        <f>AC136*1/12</f>
        <v>2036387.5</v>
      </c>
      <c r="AE136" s="73">
        <f>AD136-AD135</f>
        <v>2036387.5</v>
      </c>
      <c r="AF136" s="81">
        <f>P136-P135</f>
        <v>23202040</v>
      </c>
      <c r="AG136" s="80">
        <f t="shared" ref="AG136:AG147" si="128">+P136-AF136-P135</f>
        <v>0</v>
      </c>
      <c r="AH136" s="99">
        <f t="shared" ref="AH136:AH147" si="129">IF(D136&gt;=12000000,12000000*1%,D136*1%)</f>
        <v>120000</v>
      </c>
      <c r="AI136" s="82">
        <f t="shared" ref="AI136:AI147" si="130">D136+I136+N136-AE136-T136-AH136</f>
        <v>19900836.5</v>
      </c>
      <c r="AL136" s="83">
        <v>7293979.166666667</v>
      </c>
      <c r="AM136" s="83"/>
    </row>
    <row r="137" spans="1:43">
      <c r="A137" s="78" t="s">
        <v>100</v>
      </c>
      <c r="B137" s="104" t="s">
        <v>113</v>
      </c>
      <c r="C137" s="105"/>
      <c r="D137" s="73">
        <v>22600000</v>
      </c>
      <c r="E137" s="73"/>
      <c r="F137" s="73"/>
      <c r="G137" s="73"/>
      <c r="H137" s="73">
        <v>0</v>
      </c>
      <c r="I137" s="75">
        <f t="shared" si="120"/>
        <v>0</v>
      </c>
      <c r="J137" s="75">
        <f t="shared" ref="J137:J147" si="131">+D137+I137+E137</f>
        <v>22600000</v>
      </c>
      <c r="K137" s="75">
        <f>(0.24%*D137)+(D137*0.3%)</f>
        <v>122040</v>
      </c>
      <c r="L137" s="75">
        <f t="shared" si="121"/>
        <v>480000</v>
      </c>
      <c r="M137" s="75">
        <f t="shared" si="122"/>
        <v>46404080</v>
      </c>
      <c r="N137" s="75"/>
      <c r="O137" s="75">
        <f t="shared" ref="O137:O147" si="132">+N137+O136</f>
        <v>0</v>
      </c>
      <c r="P137" s="75">
        <f t="shared" ref="P137:P147" si="133">M137+O137</f>
        <v>46404080</v>
      </c>
      <c r="Q137" s="75">
        <f>IF(5%*P137&gt;500000*2,500000*2,5%*P137)</f>
        <v>1000000</v>
      </c>
      <c r="R137" s="75">
        <f>(D137*2%)</f>
        <v>452000</v>
      </c>
      <c r="S137" s="75">
        <f>IF(D137&gt;=9077600,9077600*1%,D137*1%)</f>
        <v>90776</v>
      </c>
      <c r="T137" s="75">
        <f t="shared" ref="T137:T147" si="134">+R137+S137</f>
        <v>542776</v>
      </c>
      <c r="U137" s="75">
        <f t="shared" ref="U137:U147" si="135">+T137+U136</f>
        <v>1085552</v>
      </c>
      <c r="V137" s="75">
        <f t="shared" si="124"/>
        <v>2085552</v>
      </c>
      <c r="W137" s="75">
        <f t="shared" ref="W137:W147" si="136">P137-V137</f>
        <v>44318528</v>
      </c>
      <c r="X137" s="73">
        <f>W137*12/2</f>
        <v>265911168</v>
      </c>
      <c r="Y137" s="75">
        <v>0</v>
      </c>
      <c r="Z137" s="75">
        <f t="shared" si="125"/>
        <v>265911168</v>
      </c>
      <c r="AA137" s="73">
        <f t="shared" si="126"/>
        <v>63000000</v>
      </c>
      <c r="AB137" s="80">
        <f t="shared" si="127"/>
        <v>202911000</v>
      </c>
      <c r="AC137" s="75">
        <f t="shared" ref="AC137:AC147" si="137">IF(AB137&lt;=0,0,IF(AB137&lt;=60000000,0.05*AB137,IF(AB137&lt;=250000000,3000000+(AB137-60000000)*0.15,IF(AB137&lt;=500000000,31500000+(AB137-250000000)*0.25,IF(AB137&lt;=5000000000,94000000+(AB137-500000000)*0.3,IF(AB137&gt;5000000000,1444000000+(AB137-5000000000)*0.35))))))</f>
        <v>24436650</v>
      </c>
      <c r="AD137" s="81">
        <f>AC137*2/12</f>
        <v>4072775</v>
      </c>
      <c r="AE137" s="73">
        <f t="shared" ref="AE137:AE147" si="138">AD137-AD136</f>
        <v>2036387.5</v>
      </c>
      <c r="AF137" s="81">
        <f t="shared" ref="AF137:AF147" si="139">P137-P136</f>
        <v>23202040</v>
      </c>
      <c r="AG137" s="80">
        <f t="shared" si="128"/>
        <v>0</v>
      </c>
      <c r="AH137" s="99">
        <f t="shared" si="129"/>
        <v>120000</v>
      </c>
      <c r="AI137" s="82">
        <f t="shared" si="130"/>
        <v>19900836.5</v>
      </c>
      <c r="AL137" s="83">
        <v>20000</v>
      </c>
      <c r="AM137" s="83"/>
    </row>
    <row r="138" spans="1:43">
      <c r="A138" s="78" t="s">
        <v>101</v>
      </c>
      <c r="B138" s="104" t="s">
        <v>113</v>
      </c>
      <c r="C138" s="105"/>
      <c r="D138" s="73">
        <v>22600000</v>
      </c>
      <c r="E138" s="73"/>
      <c r="F138" s="73"/>
      <c r="G138" s="73"/>
      <c r="H138" s="73">
        <v>0</v>
      </c>
      <c r="I138" s="75">
        <f t="shared" si="120"/>
        <v>0</v>
      </c>
      <c r="J138" s="75">
        <f t="shared" si="131"/>
        <v>22600000</v>
      </c>
      <c r="K138" s="75">
        <f>(0.24%*D138)+(D138*0.3%)</f>
        <v>122040</v>
      </c>
      <c r="L138" s="75">
        <f t="shared" si="121"/>
        <v>480000</v>
      </c>
      <c r="M138" s="75">
        <f t="shared" si="122"/>
        <v>69606120</v>
      </c>
      <c r="N138" s="75"/>
      <c r="O138" s="75">
        <f t="shared" si="132"/>
        <v>0</v>
      </c>
      <c r="P138" s="75">
        <f t="shared" si="133"/>
        <v>69606120</v>
      </c>
      <c r="Q138" s="75">
        <f>IF(5%*P138&gt;500000*3,500000*3,5%*P138)</f>
        <v>1500000</v>
      </c>
      <c r="R138" s="75">
        <f>(D138*2%)</f>
        <v>452000</v>
      </c>
      <c r="S138" s="75">
        <f>IF(D138&gt;=9077600,9077600*1%,D138*1%)</f>
        <v>90776</v>
      </c>
      <c r="T138" s="75">
        <f t="shared" si="134"/>
        <v>542776</v>
      </c>
      <c r="U138" s="75">
        <f t="shared" si="135"/>
        <v>1628328</v>
      </c>
      <c r="V138" s="75">
        <f t="shared" si="124"/>
        <v>3128328</v>
      </c>
      <c r="W138" s="75">
        <f t="shared" si="136"/>
        <v>66477792</v>
      </c>
      <c r="X138" s="73">
        <f>W138*12/3</f>
        <v>265911168</v>
      </c>
      <c r="Y138" s="75">
        <v>0</v>
      </c>
      <c r="Z138" s="75">
        <f t="shared" si="125"/>
        <v>265911168</v>
      </c>
      <c r="AA138" s="73">
        <f t="shared" si="126"/>
        <v>63000000</v>
      </c>
      <c r="AB138" s="80">
        <f t="shared" si="127"/>
        <v>202911000</v>
      </c>
      <c r="AC138" s="75">
        <f t="shared" si="137"/>
        <v>24436650</v>
      </c>
      <c r="AD138" s="81">
        <f>AC138*3/12</f>
        <v>6109162.5</v>
      </c>
      <c r="AE138" s="73">
        <f t="shared" si="138"/>
        <v>2036387.5</v>
      </c>
      <c r="AF138" s="81">
        <f t="shared" si="139"/>
        <v>23202040</v>
      </c>
      <c r="AG138" s="80">
        <f t="shared" si="128"/>
        <v>0</v>
      </c>
      <c r="AH138" s="99">
        <f t="shared" si="129"/>
        <v>120000</v>
      </c>
      <c r="AI138" s="82">
        <f t="shared" si="130"/>
        <v>19900836.5</v>
      </c>
      <c r="AL138" s="83">
        <v>300</v>
      </c>
      <c r="AM138" s="83"/>
    </row>
    <row r="139" spans="1:43">
      <c r="A139" s="78" t="s">
        <v>102</v>
      </c>
      <c r="B139" s="104" t="s">
        <v>113</v>
      </c>
      <c r="C139" s="105"/>
      <c r="D139" s="73">
        <v>22600000</v>
      </c>
      <c r="E139" s="73"/>
      <c r="F139" s="73"/>
      <c r="G139" s="73"/>
      <c r="H139" s="73">
        <v>0</v>
      </c>
      <c r="I139" s="75">
        <f t="shared" si="120"/>
        <v>0</v>
      </c>
      <c r="J139" s="75">
        <f t="shared" si="131"/>
        <v>22600000</v>
      </c>
      <c r="K139" s="75">
        <f>(0.24%*D139)+(D139*0.3%)</f>
        <v>122040</v>
      </c>
      <c r="L139" s="75">
        <f t="shared" si="121"/>
        <v>480000</v>
      </c>
      <c r="M139" s="75">
        <f t="shared" si="122"/>
        <v>92808160</v>
      </c>
      <c r="N139" s="75"/>
      <c r="O139" s="75">
        <f t="shared" si="132"/>
        <v>0</v>
      </c>
      <c r="P139" s="75">
        <f t="shared" si="133"/>
        <v>92808160</v>
      </c>
      <c r="Q139" s="75">
        <f>IF(5%*P139&gt;500000*4,500000*4,5%*P139)</f>
        <v>2000000</v>
      </c>
      <c r="R139" s="75">
        <f>(D139*2%)</f>
        <v>452000</v>
      </c>
      <c r="S139" s="75">
        <f>IF(D139&gt;=9077600,9077600*1%,D139*1%)</f>
        <v>90776</v>
      </c>
      <c r="T139" s="75">
        <f t="shared" si="134"/>
        <v>542776</v>
      </c>
      <c r="U139" s="75">
        <f t="shared" si="135"/>
        <v>2171104</v>
      </c>
      <c r="V139" s="75">
        <f t="shared" si="124"/>
        <v>4171104</v>
      </c>
      <c r="W139" s="75">
        <f t="shared" si="136"/>
        <v>88637056</v>
      </c>
      <c r="X139" s="73">
        <f>W139*12/4</f>
        <v>265911168</v>
      </c>
      <c r="Y139" s="75">
        <v>0</v>
      </c>
      <c r="Z139" s="75">
        <f t="shared" si="125"/>
        <v>265911168</v>
      </c>
      <c r="AA139" s="73">
        <f t="shared" si="126"/>
        <v>63000000</v>
      </c>
      <c r="AB139" s="80">
        <f t="shared" si="127"/>
        <v>202911000</v>
      </c>
      <c r="AC139" s="75">
        <f t="shared" si="137"/>
        <v>24436650</v>
      </c>
      <c r="AD139" s="81">
        <f>AC139*4/12</f>
        <v>8145550</v>
      </c>
      <c r="AE139" s="73">
        <f t="shared" si="138"/>
        <v>2036387.5</v>
      </c>
      <c r="AF139" s="81">
        <f t="shared" si="139"/>
        <v>23202040</v>
      </c>
      <c r="AG139" s="80">
        <f t="shared" si="128"/>
        <v>0</v>
      </c>
      <c r="AH139" s="99">
        <f t="shared" si="129"/>
        <v>120000</v>
      </c>
      <c r="AI139" s="82">
        <f t="shared" si="130"/>
        <v>19900836.5</v>
      </c>
      <c r="AL139" s="83">
        <v>650</v>
      </c>
      <c r="AM139" s="83"/>
    </row>
    <row r="140" spans="1:43" s="143" customFormat="1">
      <c r="A140" s="133" t="s">
        <v>103</v>
      </c>
      <c r="B140" s="134" t="s">
        <v>113</v>
      </c>
      <c r="C140" s="135"/>
      <c r="D140" s="136">
        <v>24000000</v>
      </c>
      <c r="E140" s="136">
        <v>5600000</v>
      </c>
      <c r="F140" s="136"/>
      <c r="G140" s="136">
        <v>560000</v>
      </c>
      <c r="H140" s="136">
        <v>0</v>
      </c>
      <c r="I140" s="138">
        <f t="shared" si="120"/>
        <v>560000</v>
      </c>
      <c r="J140" s="138">
        <f t="shared" si="131"/>
        <v>30160000</v>
      </c>
      <c r="K140" s="138">
        <f>(0.24%*(D140+E140))+((D140+E140)*0.3%)</f>
        <v>159840</v>
      </c>
      <c r="L140" s="138">
        <f t="shared" si="121"/>
        <v>480000</v>
      </c>
      <c r="M140" s="138">
        <f t="shared" si="122"/>
        <v>118008000</v>
      </c>
      <c r="N140" s="138"/>
      <c r="O140" s="138">
        <f t="shared" si="132"/>
        <v>0</v>
      </c>
      <c r="P140" s="138">
        <f t="shared" si="133"/>
        <v>118008000</v>
      </c>
      <c r="Q140" s="138">
        <f>IF(5%*P140&gt;500000*5,500000*5,5%*P140)</f>
        <v>2500000</v>
      </c>
      <c r="R140" s="138">
        <f>((D140+E140)*2%)</f>
        <v>592000</v>
      </c>
      <c r="S140" s="138">
        <f>IF(D140&gt;=9077600,9077600*1%,(D140+E140)*1%)</f>
        <v>90776</v>
      </c>
      <c r="T140" s="138">
        <f t="shared" si="134"/>
        <v>682776</v>
      </c>
      <c r="U140" s="138">
        <f t="shared" si="135"/>
        <v>2853880</v>
      </c>
      <c r="V140" s="138">
        <f t="shared" si="124"/>
        <v>5353880</v>
      </c>
      <c r="W140" s="138">
        <f t="shared" si="136"/>
        <v>112654120</v>
      </c>
      <c r="X140" s="136">
        <f>W140*12/5</f>
        <v>270369888</v>
      </c>
      <c r="Y140" s="138">
        <v>0</v>
      </c>
      <c r="Z140" s="138">
        <f t="shared" si="125"/>
        <v>270369888</v>
      </c>
      <c r="AA140" s="136">
        <f t="shared" si="126"/>
        <v>63000000</v>
      </c>
      <c r="AB140" s="140">
        <f t="shared" si="127"/>
        <v>207369000</v>
      </c>
      <c r="AC140" s="138">
        <f t="shared" si="137"/>
        <v>25105350</v>
      </c>
      <c r="AD140" s="141">
        <f>AC140*5/12</f>
        <v>10460562.5</v>
      </c>
      <c r="AE140" s="136">
        <f t="shared" si="138"/>
        <v>2315012.5</v>
      </c>
      <c r="AF140" s="141">
        <f t="shared" si="139"/>
        <v>25199840</v>
      </c>
      <c r="AG140" s="140">
        <f t="shared" si="128"/>
        <v>0</v>
      </c>
      <c r="AH140" s="139">
        <f t="shared" si="129"/>
        <v>120000</v>
      </c>
      <c r="AI140" s="142">
        <f t="shared" si="130"/>
        <v>21442211.5</v>
      </c>
      <c r="AL140" s="144">
        <v>1500</v>
      </c>
      <c r="AM140" s="144"/>
      <c r="AO140" s="144"/>
      <c r="AP140" s="144"/>
      <c r="AQ140" s="144"/>
    </row>
    <row r="141" spans="1:43">
      <c r="A141" s="78" t="s">
        <v>104</v>
      </c>
      <c r="B141" s="104" t="s">
        <v>113</v>
      </c>
      <c r="C141" s="105"/>
      <c r="D141" s="73">
        <v>24000000</v>
      </c>
      <c r="E141" s="73"/>
      <c r="F141" s="73"/>
      <c r="G141" s="73"/>
      <c r="H141" s="73">
        <v>0</v>
      </c>
      <c r="I141" s="75">
        <f t="shared" si="120"/>
        <v>0</v>
      </c>
      <c r="J141" s="75">
        <f t="shared" si="131"/>
        <v>24000000</v>
      </c>
      <c r="K141" s="75">
        <f t="shared" ref="K141:K147" si="140">(0.24%*(D141+E141))+((D141+E141)*0.3%)</f>
        <v>129600</v>
      </c>
      <c r="L141" s="75">
        <f t="shared" si="121"/>
        <v>480000</v>
      </c>
      <c r="M141" s="75">
        <f t="shared" si="122"/>
        <v>142617600</v>
      </c>
      <c r="N141" s="75"/>
      <c r="O141" s="75">
        <f t="shared" si="132"/>
        <v>0</v>
      </c>
      <c r="P141" s="75">
        <f t="shared" si="133"/>
        <v>142617600</v>
      </c>
      <c r="Q141" s="75">
        <f>IF(5%*P141&gt;500000*6,500000*6,5%*P141)</f>
        <v>3000000</v>
      </c>
      <c r="R141" s="75">
        <f t="shared" ref="R141:R147" si="141">((D141+E141)*2%)</f>
        <v>480000</v>
      </c>
      <c r="S141" s="75">
        <f t="shared" ref="S141:S147" si="142">IF(D141&gt;=9077600,9077600*1%,(D141+E141)*1%)</f>
        <v>90776</v>
      </c>
      <c r="T141" s="75">
        <f t="shared" si="134"/>
        <v>570776</v>
      </c>
      <c r="U141" s="75">
        <f t="shared" si="135"/>
        <v>3424656</v>
      </c>
      <c r="V141" s="75">
        <f t="shared" si="124"/>
        <v>6424656</v>
      </c>
      <c r="W141" s="75">
        <f t="shared" si="136"/>
        <v>136192944</v>
      </c>
      <c r="X141" s="73">
        <f>W141*12/6</f>
        <v>272385888</v>
      </c>
      <c r="Y141" s="75">
        <v>0</v>
      </c>
      <c r="Z141" s="75">
        <f t="shared" si="125"/>
        <v>272385888</v>
      </c>
      <c r="AA141" s="73">
        <f t="shared" si="126"/>
        <v>63000000</v>
      </c>
      <c r="AB141" s="80">
        <f t="shared" si="127"/>
        <v>209385000</v>
      </c>
      <c r="AC141" s="75">
        <f t="shared" si="137"/>
        <v>25407750</v>
      </c>
      <c r="AD141" s="81">
        <f>AC141*6/12</f>
        <v>12703875</v>
      </c>
      <c r="AE141" s="73">
        <f t="shared" si="138"/>
        <v>2243312.5</v>
      </c>
      <c r="AF141" s="81">
        <f t="shared" si="139"/>
        <v>24609600</v>
      </c>
      <c r="AG141" s="80">
        <f t="shared" si="128"/>
        <v>0</v>
      </c>
      <c r="AH141" s="99">
        <f t="shared" si="129"/>
        <v>120000</v>
      </c>
      <c r="AI141" s="82">
        <f t="shared" si="130"/>
        <v>21065911.5</v>
      </c>
      <c r="AL141" s="84">
        <v>150</v>
      </c>
      <c r="AM141" s="83"/>
    </row>
    <row r="142" spans="1:43">
      <c r="A142" s="78" t="s">
        <v>105</v>
      </c>
      <c r="B142" s="104" t="s">
        <v>113</v>
      </c>
      <c r="C142" s="105"/>
      <c r="D142" s="73">
        <v>24000000</v>
      </c>
      <c r="E142" s="73"/>
      <c r="F142" s="73"/>
      <c r="G142" s="73"/>
      <c r="H142" s="73">
        <v>0</v>
      </c>
      <c r="I142" s="75">
        <f t="shared" si="120"/>
        <v>0</v>
      </c>
      <c r="J142" s="75">
        <f t="shared" si="131"/>
        <v>24000000</v>
      </c>
      <c r="K142" s="75">
        <f t="shared" si="140"/>
        <v>129600</v>
      </c>
      <c r="L142" s="75">
        <f t="shared" si="121"/>
        <v>480000</v>
      </c>
      <c r="M142" s="75">
        <f t="shared" si="122"/>
        <v>167227200</v>
      </c>
      <c r="N142" s="75"/>
      <c r="O142" s="75">
        <f t="shared" si="132"/>
        <v>0</v>
      </c>
      <c r="P142" s="75">
        <f t="shared" si="133"/>
        <v>167227200</v>
      </c>
      <c r="Q142" s="75">
        <f>IF(5%*P142&gt;500000*7,500000*7,5%*P142)</f>
        <v>3500000</v>
      </c>
      <c r="R142" s="75">
        <f t="shared" si="141"/>
        <v>480000</v>
      </c>
      <c r="S142" s="75">
        <f t="shared" si="142"/>
        <v>90776</v>
      </c>
      <c r="T142" s="75">
        <f t="shared" si="134"/>
        <v>570776</v>
      </c>
      <c r="U142" s="75">
        <f t="shared" si="135"/>
        <v>3995432</v>
      </c>
      <c r="V142" s="75">
        <f t="shared" si="124"/>
        <v>7495432</v>
      </c>
      <c r="W142" s="75">
        <f t="shared" si="136"/>
        <v>159731768</v>
      </c>
      <c r="X142" s="73">
        <f>W142*12/7</f>
        <v>273825888</v>
      </c>
      <c r="Y142" s="75">
        <v>0</v>
      </c>
      <c r="Z142" s="75">
        <f t="shared" si="125"/>
        <v>273825888</v>
      </c>
      <c r="AA142" s="73">
        <f t="shared" si="126"/>
        <v>63000000</v>
      </c>
      <c r="AB142" s="80">
        <f t="shared" si="127"/>
        <v>210825000</v>
      </c>
      <c r="AC142" s="75">
        <f t="shared" si="137"/>
        <v>25623750</v>
      </c>
      <c r="AD142" s="81">
        <f>AC142*7/12</f>
        <v>14947187.5</v>
      </c>
      <c r="AE142" s="73">
        <f t="shared" si="138"/>
        <v>2243312.5</v>
      </c>
      <c r="AF142" s="81">
        <f t="shared" si="139"/>
        <v>24609600</v>
      </c>
      <c r="AG142" s="80">
        <f t="shared" si="128"/>
        <v>0</v>
      </c>
      <c r="AH142" s="99">
        <f t="shared" si="129"/>
        <v>120000</v>
      </c>
      <c r="AI142" s="82">
        <f t="shared" si="130"/>
        <v>21065911.5</v>
      </c>
      <c r="AL142" s="84"/>
      <c r="AM142" s="83"/>
    </row>
    <row r="143" spans="1:43">
      <c r="A143" s="78" t="s">
        <v>106</v>
      </c>
      <c r="B143" s="104" t="s">
        <v>113</v>
      </c>
      <c r="C143" s="105"/>
      <c r="D143" s="73">
        <v>24000000</v>
      </c>
      <c r="E143" s="73"/>
      <c r="F143" s="73"/>
      <c r="G143" s="73"/>
      <c r="H143" s="73">
        <v>0</v>
      </c>
      <c r="I143" s="75">
        <f t="shared" si="120"/>
        <v>0</v>
      </c>
      <c r="J143" s="75">
        <f t="shared" si="131"/>
        <v>24000000</v>
      </c>
      <c r="K143" s="75">
        <f t="shared" si="140"/>
        <v>129600</v>
      </c>
      <c r="L143" s="75">
        <f t="shared" si="121"/>
        <v>480000</v>
      </c>
      <c r="M143" s="75">
        <f t="shared" si="122"/>
        <v>191836800</v>
      </c>
      <c r="N143" s="75"/>
      <c r="O143" s="75">
        <f t="shared" si="132"/>
        <v>0</v>
      </c>
      <c r="P143" s="75">
        <f t="shared" si="133"/>
        <v>191836800</v>
      </c>
      <c r="Q143" s="75">
        <f>IF(5%*P143&gt;500000*8,500000*8,5%*P143)</f>
        <v>4000000</v>
      </c>
      <c r="R143" s="75">
        <f t="shared" si="141"/>
        <v>480000</v>
      </c>
      <c r="S143" s="75">
        <f t="shared" si="142"/>
        <v>90776</v>
      </c>
      <c r="T143" s="75">
        <f t="shared" si="134"/>
        <v>570776</v>
      </c>
      <c r="U143" s="75">
        <f t="shared" si="135"/>
        <v>4566208</v>
      </c>
      <c r="V143" s="75">
        <f t="shared" si="124"/>
        <v>8566208</v>
      </c>
      <c r="W143" s="75">
        <f t="shared" si="136"/>
        <v>183270592</v>
      </c>
      <c r="X143" s="73">
        <f>W143*12/8</f>
        <v>274905888</v>
      </c>
      <c r="Y143" s="75">
        <v>0</v>
      </c>
      <c r="Z143" s="75">
        <f t="shared" si="125"/>
        <v>274905888</v>
      </c>
      <c r="AA143" s="73">
        <f t="shared" si="126"/>
        <v>63000000</v>
      </c>
      <c r="AB143" s="80">
        <f t="shared" si="127"/>
        <v>211905000</v>
      </c>
      <c r="AC143" s="75">
        <f t="shared" si="137"/>
        <v>25785750</v>
      </c>
      <c r="AD143" s="81">
        <f>AC143*8/12</f>
        <v>17190500</v>
      </c>
      <c r="AE143" s="73">
        <f t="shared" si="138"/>
        <v>2243312.5</v>
      </c>
      <c r="AF143" s="81">
        <f t="shared" si="139"/>
        <v>24609600</v>
      </c>
      <c r="AG143" s="80">
        <f t="shared" si="128"/>
        <v>0</v>
      </c>
      <c r="AH143" s="99">
        <f t="shared" si="129"/>
        <v>120000</v>
      </c>
      <c r="AI143" s="82">
        <f t="shared" si="130"/>
        <v>21065911.5</v>
      </c>
      <c r="AL143" s="84"/>
      <c r="AM143" s="83"/>
    </row>
    <row r="144" spans="1:43">
      <c r="A144" s="78" t="s">
        <v>107</v>
      </c>
      <c r="B144" s="104" t="s">
        <v>113</v>
      </c>
      <c r="C144" s="105"/>
      <c r="D144" s="73">
        <v>24000000</v>
      </c>
      <c r="E144" s="73"/>
      <c r="F144" s="73"/>
      <c r="G144" s="73"/>
      <c r="H144" s="73">
        <v>0</v>
      </c>
      <c r="I144" s="75">
        <f t="shared" si="120"/>
        <v>0</v>
      </c>
      <c r="J144" s="75">
        <f t="shared" si="131"/>
        <v>24000000</v>
      </c>
      <c r="K144" s="75">
        <f t="shared" si="140"/>
        <v>129600</v>
      </c>
      <c r="L144" s="75">
        <f t="shared" si="121"/>
        <v>480000</v>
      </c>
      <c r="M144" s="75">
        <f t="shared" si="122"/>
        <v>216446400</v>
      </c>
      <c r="N144" s="75"/>
      <c r="O144" s="75">
        <f t="shared" si="132"/>
        <v>0</v>
      </c>
      <c r="P144" s="75">
        <f t="shared" si="133"/>
        <v>216446400</v>
      </c>
      <c r="Q144" s="75">
        <f>IF(5%*P144&gt;500000*9,500000*9,5%*P144)</f>
        <v>4500000</v>
      </c>
      <c r="R144" s="75">
        <f t="shared" si="141"/>
        <v>480000</v>
      </c>
      <c r="S144" s="75">
        <f t="shared" si="142"/>
        <v>90776</v>
      </c>
      <c r="T144" s="75">
        <f t="shared" si="134"/>
        <v>570776</v>
      </c>
      <c r="U144" s="75">
        <f t="shared" si="135"/>
        <v>5136984</v>
      </c>
      <c r="V144" s="75">
        <f t="shared" si="124"/>
        <v>9636984</v>
      </c>
      <c r="W144" s="75">
        <f t="shared" si="136"/>
        <v>206809416</v>
      </c>
      <c r="X144" s="73">
        <f>W144*12/9</f>
        <v>275745888</v>
      </c>
      <c r="Y144" s="75">
        <v>0</v>
      </c>
      <c r="Z144" s="75">
        <f t="shared" si="125"/>
        <v>275745888</v>
      </c>
      <c r="AA144" s="73">
        <f t="shared" si="126"/>
        <v>63000000</v>
      </c>
      <c r="AB144" s="80">
        <f t="shared" si="127"/>
        <v>212745000</v>
      </c>
      <c r="AC144" s="75">
        <f t="shared" si="137"/>
        <v>25911750</v>
      </c>
      <c r="AD144" s="81">
        <f>AC144*9/12</f>
        <v>19433812.5</v>
      </c>
      <c r="AE144" s="73">
        <f t="shared" si="138"/>
        <v>2243312.5</v>
      </c>
      <c r="AF144" s="81">
        <f t="shared" si="139"/>
        <v>24609600</v>
      </c>
      <c r="AG144" s="80">
        <f t="shared" si="128"/>
        <v>0</v>
      </c>
      <c r="AH144" s="99">
        <f t="shared" si="129"/>
        <v>120000</v>
      </c>
      <c r="AI144" s="82">
        <f t="shared" si="130"/>
        <v>21065911.5</v>
      </c>
    </row>
    <row r="145" spans="1:39">
      <c r="A145" s="78" t="s">
        <v>108</v>
      </c>
      <c r="B145" s="104" t="s">
        <v>113</v>
      </c>
      <c r="C145" s="105"/>
      <c r="D145" s="73">
        <v>24000000</v>
      </c>
      <c r="E145" s="73"/>
      <c r="F145" s="73"/>
      <c r="G145" s="73"/>
      <c r="H145" s="73">
        <v>0</v>
      </c>
      <c r="I145" s="75">
        <f t="shared" si="120"/>
        <v>0</v>
      </c>
      <c r="J145" s="75">
        <f t="shared" si="131"/>
        <v>24000000</v>
      </c>
      <c r="K145" s="75">
        <f t="shared" si="140"/>
        <v>129600</v>
      </c>
      <c r="L145" s="75">
        <f t="shared" si="121"/>
        <v>480000</v>
      </c>
      <c r="M145" s="75">
        <f t="shared" si="122"/>
        <v>241056000</v>
      </c>
      <c r="N145" s="75"/>
      <c r="O145" s="75">
        <f t="shared" si="132"/>
        <v>0</v>
      </c>
      <c r="P145" s="75">
        <f t="shared" si="133"/>
        <v>241056000</v>
      </c>
      <c r="Q145" s="75">
        <f>IF(5%*P145&gt;500000*10,500000*10,5%*P145)</f>
        <v>5000000</v>
      </c>
      <c r="R145" s="75">
        <f t="shared" si="141"/>
        <v>480000</v>
      </c>
      <c r="S145" s="75">
        <f t="shared" si="142"/>
        <v>90776</v>
      </c>
      <c r="T145" s="75">
        <f t="shared" si="134"/>
        <v>570776</v>
      </c>
      <c r="U145" s="75">
        <f t="shared" si="135"/>
        <v>5707760</v>
      </c>
      <c r="V145" s="75">
        <f t="shared" si="124"/>
        <v>10707760</v>
      </c>
      <c r="W145" s="75">
        <f t="shared" si="136"/>
        <v>230348240</v>
      </c>
      <c r="X145" s="73">
        <f>W145*12/10</f>
        <v>276417888</v>
      </c>
      <c r="Y145" s="75">
        <v>0</v>
      </c>
      <c r="Z145" s="75">
        <f t="shared" si="125"/>
        <v>276417888</v>
      </c>
      <c r="AA145" s="73">
        <f t="shared" si="126"/>
        <v>63000000</v>
      </c>
      <c r="AB145" s="80">
        <f t="shared" si="127"/>
        <v>213417000</v>
      </c>
      <c r="AC145" s="75">
        <f t="shared" si="137"/>
        <v>26012550</v>
      </c>
      <c r="AD145" s="81">
        <f>AC145*10/12</f>
        <v>21677125</v>
      </c>
      <c r="AE145" s="73">
        <f t="shared" si="138"/>
        <v>2243312.5</v>
      </c>
      <c r="AF145" s="81">
        <f t="shared" si="139"/>
        <v>24609600</v>
      </c>
      <c r="AG145" s="80">
        <f t="shared" si="128"/>
        <v>0</v>
      </c>
      <c r="AH145" s="99">
        <f t="shared" si="129"/>
        <v>120000</v>
      </c>
      <c r="AI145" s="82">
        <f t="shared" si="130"/>
        <v>21065911.5</v>
      </c>
    </row>
    <row r="146" spans="1:39">
      <c r="A146" s="78" t="s">
        <v>109</v>
      </c>
      <c r="B146" s="104" t="s">
        <v>113</v>
      </c>
      <c r="C146" s="105"/>
      <c r="D146" s="73">
        <v>24000000</v>
      </c>
      <c r="E146" s="73"/>
      <c r="F146" s="73"/>
      <c r="G146" s="73"/>
      <c r="H146" s="73">
        <v>0</v>
      </c>
      <c r="I146" s="75">
        <f t="shared" si="120"/>
        <v>0</v>
      </c>
      <c r="J146" s="75">
        <f t="shared" si="131"/>
        <v>24000000</v>
      </c>
      <c r="K146" s="75">
        <f t="shared" si="140"/>
        <v>129600</v>
      </c>
      <c r="L146" s="75">
        <f t="shared" si="121"/>
        <v>480000</v>
      </c>
      <c r="M146" s="75">
        <f t="shared" si="122"/>
        <v>265665600</v>
      </c>
      <c r="N146" s="75"/>
      <c r="O146" s="75">
        <f t="shared" si="132"/>
        <v>0</v>
      </c>
      <c r="P146" s="75">
        <f t="shared" si="133"/>
        <v>265665600</v>
      </c>
      <c r="Q146" s="75">
        <f>IF(5%*P146&gt;500000*11,500000*11,5%*P146)</f>
        <v>5500000</v>
      </c>
      <c r="R146" s="75">
        <f t="shared" si="141"/>
        <v>480000</v>
      </c>
      <c r="S146" s="75">
        <f t="shared" si="142"/>
        <v>90776</v>
      </c>
      <c r="T146" s="75">
        <f t="shared" si="134"/>
        <v>570776</v>
      </c>
      <c r="U146" s="75">
        <f t="shared" si="135"/>
        <v>6278536</v>
      </c>
      <c r="V146" s="75">
        <f t="shared" si="124"/>
        <v>11778536</v>
      </c>
      <c r="W146" s="75">
        <f t="shared" si="136"/>
        <v>253887064</v>
      </c>
      <c r="X146" s="73">
        <f>W146*12/11</f>
        <v>276967706.18181819</v>
      </c>
      <c r="Y146" s="75">
        <v>0</v>
      </c>
      <c r="Z146" s="75">
        <f t="shared" si="125"/>
        <v>276967706.18181819</v>
      </c>
      <c r="AA146" s="73">
        <f t="shared" si="126"/>
        <v>63000000</v>
      </c>
      <c r="AB146" s="80">
        <f t="shared" si="127"/>
        <v>213967000</v>
      </c>
      <c r="AC146" s="75">
        <f t="shared" si="137"/>
        <v>26095050</v>
      </c>
      <c r="AD146" s="81">
        <f>AC146*11/12</f>
        <v>23920462.5</v>
      </c>
      <c r="AE146" s="73">
        <f t="shared" si="138"/>
        <v>2243337.5</v>
      </c>
      <c r="AF146" s="81">
        <f t="shared" si="139"/>
        <v>24609600</v>
      </c>
      <c r="AG146" s="80">
        <f t="shared" si="128"/>
        <v>0</v>
      </c>
      <c r="AH146" s="99">
        <f t="shared" si="129"/>
        <v>120000</v>
      </c>
      <c r="AI146" s="82">
        <f t="shared" si="130"/>
        <v>21065886.5</v>
      </c>
    </row>
    <row r="147" spans="1:39">
      <c r="A147" s="85" t="s">
        <v>110</v>
      </c>
      <c r="B147" s="104" t="s">
        <v>113</v>
      </c>
      <c r="C147" s="105"/>
      <c r="D147" s="73">
        <v>24000000</v>
      </c>
      <c r="E147" s="73"/>
      <c r="F147" s="73"/>
      <c r="G147" s="73"/>
      <c r="H147" s="73">
        <v>0</v>
      </c>
      <c r="I147" s="75">
        <f t="shared" si="120"/>
        <v>0</v>
      </c>
      <c r="J147" s="75">
        <f t="shared" si="131"/>
        <v>24000000</v>
      </c>
      <c r="K147" s="75">
        <f t="shared" si="140"/>
        <v>129600</v>
      </c>
      <c r="L147" s="75">
        <f t="shared" si="121"/>
        <v>480000</v>
      </c>
      <c r="M147" s="75">
        <f t="shared" si="122"/>
        <v>290275200</v>
      </c>
      <c r="N147" s="75"/>
      <c r="O147" s="75">
        <f t="shared" si="132"/>
        <v>0</v>
      </c>
      <c r="P147" s="75">
        <f t="shared" si="133"/>
        <v>290275200</v>
      </c>
      <c r="Q147" s="75">
        <f>IF(5%*P147&gt;500000*12,500000*12,5%*P147)</f>
        <v>6000000</v>
      </c>
      <c r="R147" s="75">
        <f t="shared" si="141"/>
        <v>480000</v>
      </c>
      <c r="S147" s="75">
        <f t="shared" si="142"/>
        <v>90776</v>
      </c>
      <c r="T147" s="75">
        <f t="shared" si="134"/>
        <v>570776</v>
      </c>
      <c r="U147" s="75">
        <f t="shared" si="135"/>
        <v>6849312</v>
      </c>
      <c r="V147" s="75">
        <f t="shared" si="124"/>
        <v>12849312</v>
      </c>
      <c r="W147" s="75">
        <f t="shared" si="136"/>
        <v>277425888</v>
      </c>
      <c r="X147" s="73">
        <f>W147*12/12</f>
        <v>277425888</v>
      </c>
      <c r="Y147" s="75">
        <v>0</v>
      </c>
      <c r="Z147" s="75">
        <f t="shared" si="125"/>
        <v>277425888</v>
      </c>
      <c r="AA147" s="73">
        <f t="shared" si="126"/>
        <v>63000000</v>
      </c>
      <c r="AB147" s="80">
        <f t="shared" si="127"/>
        <v>214425000</v>
      </c>
      <c r="AC147" s="75">
        <f t="shared" si="137"/>
        <v>26163750</v>
      </c>
      <c r="AD147" s="81">
        <f>AC147*12/12</f>
        <v>26163750</v>
      </c>
      <c r="AE147" s="73">
        <f t="shared" si="138"/>
        <v>2243287.5</v>
      </c>
      <c r="AF147" s="81">
        <f t="shared" si="139"/>
        <v>24609600</v>
      </c>
      <c r="AG147" s="80">
        <f t="shared" si="128"/>
        <v>0</v>
      </c>
      <c r="AH147" s="99">
        <f t="shared" si="129"/>
        <v>120000</v>
      </c>
      <c r="AI147" s="82">
        <f t="shared" si="130"/>
        <v>21065936.5</v>
      </c>
    </row>
    <row r="148" spans="1:39" ht="13.5" thickBot="1">
      <c r="A148" s="86" t="s">
        <v>111</v>
      </c>
      <c r="B148" s="86"/>
      <c r="C148" s="86"/>
      <c r="D148" s="87">
        <f t="shared" ref="D148:J148" si="143">SUM(D136:D147)</f>
        <v>282400000</v>
      </c>
      <c r="E148" s="87"/>
      <c r="F148" s="87">
        <f t="shared" si="143"/>
        <v>0</v>
      </c>
      <c r="G148" s="87">
        <f t="shared" si="143"/>
        <v>560000</v>
      </c>
      <c r="H148" s="87">
        <f t="shared" si="143"/>
        <v>0</v>
      </c>
      <c r="I148" s="87">
        <f t="shared" si="143"/>
        <v>560000</v>
      </c>
      <c r="J148" s="87">
        <f t="shared" si="143"/>
        <v>288560000</v>
      </c>
      <c r="K148" s="87">
        <f>SUM(K136:K147)</f>
        <v>1555200</v>
      </c>
      <c r="L148" s="87">
        <f>SUM(L136:L147)</f>
        <v>5760000</v>
      </c>
      <c r="M148" s="87">
        <f>+D148+I148+K148+L148</f>
        <v>290275200</v>
      </c>
      <c r="N148" s="87">
        <f>SUM(N136:N147)</f>
        <v>0</v>
      </c>
      <c r="O148" s="87">
        <f>+O147</f>
        <v>0</v>
      </c>
      <c r="P148" s="87">
        <f>+M148+O148</f>
        <v>290275200</v>
      </c>
      <c r="Q148" s="88">
        <f>Q147</f>
        <v>6000000</v>
      </c>
      <c r="R148" s="87">
        <f>SUM(R136:R147)</f>
        <v>5760000</v>
      </c>
      <c r="S148" s="87">
        <f>SUM(S136:S147)</f>
        <v>1089312</v>
      </c>
      <c r="T148" s="87">
        <f>SUM(T136:T147)</f>
        <v>6849312</v>
      </c>
      <c r="U148" s="88">
        <f>+U147</f>
        <v>6849312</v>
      </c>
      <c r="V148" s="88">
        <f t="shared" si="124"/>
        <v>12849312</v>
      </c>
      <c r="W148" s="88">
        <f>P148-V148</f>
        <v>277425888</v>
      </c>
      <c r="X148" s="88">
        <f>X147</f>
        <v>277425888</v>
      </c>
      <c r="Y148" s="88">
        <f>+Y147</f>
        <v>0</v>
      </c>
      <c r="Z148" s="88">
        <f>SUM(X148:Y148)</f>
        <v>277425888</v>
      </c>
      <c r="AA148" s="88">
        <f>AA147</f>
        <v>63000000</v>
      </c>
      <c r="AB148" s="89">
        <f>ROUNDDOWN(Z148-AA148,-3)</f>
        <v>214425000</v>
      </c>
      <c r="AC148" s="87">
        <f>IF(AB148&lt;=0,0,IF(AB148&lt;=50000000,0.05*AB148,IF(AB148&lt;=250000000,2500000+(AB148-50000000)*0.15,IF(AB148&lt;=500000000,32500000+(AB148-250000000)*0.25,IF(AB148&gt;500000000,95000000+(AB148-500000000)*0.3)))))</f>
        <v>27163750</v>
      </c>
      <c r="AD148" s="89">
        <f>AC148*12/12</f>
        <v>27163750</v>
      </c>
      <c r="AE148" s="88">
        <f>SUM(AE136:AE147)</f>
        <v>26163750</v>
      </c>
      <c r="AF148" s="90">
        <f>SUM(AF136:AF147)</f>
        <v>290275200</v>
      </c>
      <c r="AG148" s="89">
        <f>SUM(AG136:AG147)</f>
        <v>0</v>
      </c>
      <c r="AH148" s="89"/>
      <c r="AI148" s="91"/>
      <c r="AL148" s="84"/>
      <c r="AM148" s="83"/>
    </row>
    <row r="149" spans="1:39" ht="13.5" thickTop="1"/>
  </sheetData>
  <mergeCells count="140">
    <mergeCell ref="E57:E58"/>
    <mergeCell ref="E83:E84"/>
    <mergeCell ref="V133:V134"/>
    <mergeCell ref="W133:W134"/>
    <mergeCell ref="X133:AC133"/>
    <mergeCell ref="AD133:AD134"/>
    <mergeCell ref="AE133:AE134"/>
    <mergeCell ref="O133:O134"/>
    <mergeCell ref="P133:P134"/>
    <mergeCell ref="Q133:Q134"/>
    <mergeCell ref="R133:S133"/>
    <mergeCell ref="U133:U134"/>
    <mergeCell ref="I133:I134"/>
    <mergeCell ref="J133:J134"/>
    <mergeCell ref="K133:L133"/>
    <mergeCell ref="M133:M134"/>
    <mergeCell ref="N133:N134"/>
    <mergeCell ref="J83:J84"/>
    <mergeCell ref="K83:L83"/>
    <mergeCell ref="M83:M84"/>
    <mergeCell ref="N83:N84"/>
    <mergeCell ref="A133:A134"/>
    <mergeCell ref="B133:B134"/>
    <mergeCell ref="C133:C134"/>
    <mergeCell ref="F133:H133"/>
    <mergeCell ref="AD108:AD109"/>
    <mergeCell ref="AE108:AE109"/>
    <mergeCell ref="AF108:AF109"/>
    <mergeCell ref="AG108:AG109"/>
    <mergeCell ref="AI108:AI109"/>
    <mergeCell ref="R108:S108"/>
    <mergeCell ref="U108:U109"/>
    <mergeCell ref="V108:V109"/>
    <mergeCell ref="W108:W109"/>
    <mergeCell ref="X108:AC108"/>
    <mergeCell ref="AF133:AF134"/>
    <mergeCell ref="AG133:AG134"/>
    <mergeCell ref="AI133:AI134"/>
    <mergeCell ref="AI83:AI84"/>
    <mergeCell ref="A108:A109"/>
    <mergeCell ref="B108:B109"/>
    <mergeCell ref="C108:C109"/>
    <mergeCell ref="F108:H108"/>
    <mergeCell ref="I108:I109"/>
    <mergeCell ref="J108:J109"/>
    <mergeCell ref="K108:L108"/>
    <mergeCell ref="M108:M109"/>
    <mergeCell ref="N108:N109"/>
    <mergeCell ref="O108:O109"/>
    <mergeCell ref="P108:P109"/>
    <mergeCell ref="Q108:Q109"/>
    <mergeCell ref="V83:V84"/>
    <mergeCell ref="W83:W84"/>
    <mergeCell ref="X83:AC83"/>
    <mergeCell ref="AD83:AD84"/>
    <mergeCell ref="AE83:AE84"/>
    <mergeCell ref="O83:O84"/>
    <mergeCell ref="P83:P84"/>
    <mergeCell ref="Q83:Q84"/>
    <mergeCell ref="R83:S83"/>
    <mergeCell ref="U83:U84"/>
    <mergeCell ref="I83:I84"/>
    <mergeCell ref="A83:A84"/>
    <mergeCell ref="B83:B84"/>
    <mergeCell ref="C83:C84"/>
    <mergeCell ref="D83:D84"/>
    <mergeCell ref="F83:H83"/>
    <mergeCell ref="AD57:AD58"/>
    <mergeCell ref="AE57:AE58"/>
    <mergeCell ref="AF57:AF58"/>
    <mergeCell ref="AG57:AG58"/>
    <mergeCell ref="A57:A58"/>
    <mergeCell ref="B57:B58"/>
    <mergeCell ref="C57:C58"/>
    <mergeCell ref="D57:D58"/>
    <mergeCell ref="F57:H57"/>
    <mergeCell ref="I57:I58"/>
    <mergeCell ref="J57:J58"/>
    <mergeCell ref="K57:L57"/>
    <mergeCell ref="M57:M58"/>
    <mergeCell ref="N57:N58"/>
    <mergeCell ref="O57:O58"/>
    <mergeCell ref="P57:P58"/>
    <mergeCell ref="Q57:Q58"/>
    <mergeCell ref="AF83:AF84"/>
    <mergeCell ref="AG83:AG84"/>
    <mergeCell ref="M32:M33"/>
    <mergeCell ref="N32:N33"/>
    <mergeCell ref="AI57:AI58"/>
    <mergeCell ref="R57:S57"/>
    <mergeCell ref="U57:U58"/>
    <mergeCell ref="V57:V58"/>
    <mergeCell ref="W57:W58"/>
    <mergeCell ref="X57:AC57"/>
    <mergeCell ref="AF32:AF33"/>
    <mergeCell ref="AG32:AG33"/>
    <mergeCell ref="AI32:AI33"/>
    <mergeCell ref="V32:V33"/>
    <mergeCell ref="W32:W33"/>
    <mergeCell ref="X32:AC32"/>
    <mergeCell ref="AD32:AD33"/>
    <mergeCell ref="AE32:AE33"/>
    <mergeCell ref="O32:O33"/>
    <mergeCell ref="P32:P33"/>
    <mergeCell ref="Q32:Q33"/>
    <mergeCell ref="R32:S32"/>
    <mergeCell ref="U32:U33"/>
    <mergeCell ref="AI7:AI8"/>
    <mergeCell ref="X7:AC7"/>
    <mergeCell ref="F7:H7"/>
    <mergeCell ref="I7:I8"/>
    <mergeCell ref="K7:L7"/>
    <mergeCell ref="M7:M8"/>
    <mergeCell ref="N7:N8"/>
    <mergeCell ref="O7:O8"/>
    <mergeCell ref="J7:J8"/>
    <mergeCell ref="R7:S7"/>
    <mergeCell ref="P7:P8"/>
    <mergeCell ref="Q7:Q8"/>
    <mergeCell ref="U7:U8"/>
    <mergeCell ref="V7:V8"/>
    <mergeCell ref="W7:W8"/>
    <mergeCell ref="AD7:AD8"/>
    <mergeCell ref="AE7:AE8"/>
    <mergeCell ref="AF7:AF8"/>
    <mergeCell ref="AG7:AG8"/>
    <mergeCell ref="I32:I33"/>
    <mergeCell ref="J32:J33"/>
    <mergeCell ref="K32:L32"/>
    <mergeCell ref="E7:E8"/>
    <mergeCell ref="A32:A33"/>
    <mergeCell ref="B32:B33"/>
    <mergeCell ref="C32:C33"/>
    <mergeCell ref="D32:D33"/>
    <mergeCell ref="F32:H32"/>
    <mergeCell ref="E32:E33"/>
    <mergeCell ref="D7:D8"/>
    <mergeCell ref="A7:A8"/>
    <mergeCell ref="B7:B8"/>
    <mergeCell ref="C7:C8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1C85C-DA92-40D3-9BF0-F4E8CF62D829}">
  <dimension ref="A1"/>
  <sheetViews>
    <sheetView topLeftCell="A5"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5"/>
  <sheetViews>
    <sheetView topLeftCell="A2" workbookViewId="0">
      <selection activeCell="G33" sqref="G33"/>
    </sheetView>
  </sheetViews>
  <sheetFormatPr defaultColWidth="8.7109375" defaultRowHeight="15"/>
  <cols>
    <col min="1" max="1" width="12.140625" style="23" customWidth="1"/>
    <col min="2" max="2" width="14.42578125" style="23" customWidth="1"/>
    <col min="3" max="5" width="13.7109375" style="23" customWidth="1"/>
    <col min="6" max="6" width="20.140625" style="23" customWidth="1"/>
    <col min="7" max="8" width="13.7109375" style="23" customWidth="1"/>
    <col min="9" max="16384" width="8.7109375" style="23"/>
  </cols>
  <sheetData>
    <row r="1" spans="1:8" ht="0.75" customHeight="1"/>
    <row r="2" spans="1:8" ht="15.2" customHeight="1">
      <c r="A2" s="23" t="s">
        <v>128</v>
      </c>
    </row>
    <row r="3" spans="1:8" ht="27.2" customHeight="1">
      <c r="A3" s="112"/>
    </row>
    <row r="4" spans="1:8" ht="25.5" customHeight="1">
      <c r="A4" s="113" t="s">
        <v>129</v>
      </c>
      <c r="B4" s="113" t="s">
        <v>130</v>
      </c>
      <c r="C4" s="113" t="s">
        <v>131</v>
      </c>
      <c r="D4" s="113" t="s">
        <v>132</v>
      </c>
      <c r="E4" s="113" t="s">
        <v>133</v>
      </c>
      <c r="F4" s="113" t="s">
        <v>134</v>
      </c>
      <c r="G4" s="113" t="s">
        <v>135</v>
      </c>
      <c r="H4" s="113" t="s">
        <v>27</v>
      </c>
    </row>
    <row r="5" spans="1:8" ht="14.45" customHeight="1">
      <c r="A5" s="114" t="s">
        <v>136</v>
      </c>
      <c r="B5" s="114" t="s">
        <v>136</v>
      </c>
      <c r="C5" s="115" t="s">
        <v>137</v>
      </c>
      <c r="D5" s="115" t="s">
        <v>138</v>
      </c>
      <c r="E5" s="115" t="s">
        <v>139</v>
      </c>
      <c r="F5" s="114" t="s">
        <v>112</v>
      </c>
      <c r="G5" s="116">
        <v>44545</v>
      </c>
      <c r="H5" s="165" t="s">
        <v>140</v>
      </c>
    </row>
    <row r="6" spans="1:8" ht="14.45" customHeight="1">
      <c r="A6" s="114" t="s">
        <v>136</v>
      </c>
      <c r="B6" s="114" t="s">
        <v>136</v>
      </c>
      <c r="C6" s="115" t="s">
        <v>137</v>
      </c>
      <c r="D6" s="115" t="s">
        <v>141</v>
      </c>
      <c r="E6" s="115" t="s">
        <v>142</v>
      </c>
      <c r="F6" s="114" t="s">
        <v>143</v>
      </c>
      <c r="G6" s="116">
        <v>44347</v>
      </c>
      <c r="H6" s="165" t="s">
        <v>144</v>
      </c>
    </row>
    <row r="7" spans="1:8" ht="14.45" customHeight="1">
      <c r="A7" s="114" t="s">
        <v>136</v>
      </c>
      <c r="B7" s="114" t="s">
        <v>136</v>
      </c>
      <c r="C7" s="115" t="s">
        <v>137</v>
      </c>
      <c r="D7" s="115" t="s">
        <v>145</v>
      </c>
      <c r="E7" s="115" t="s">
        <v>146</v>
      </c>
      <c r="F7" s="114" t="s">
        <v>147</v>
      </c>
      <c r="G7" s="116">
        <v>44718</v>
      </c>
      <c r="H7" s="165" t="s">
        <v>144</v>
      </c>
    </row>
    <row r="8" spans="1:8" ht="14.45" customHeight="1">
      <c r="A8" s="114" t="s">
        <v>136</v>
      </c>
      <c r="B8" s="114" t="s">
        <v>136</v>
      </c>
      <c r="C8" s="115" t="s">
        <v>137</v>
      </c>
      <c r="D8" s="115" t="s">
        <v>145</v>
      </c>
      <c r="E8" s="115" t="s">
        <v>148</v>
      </c>
      <c r="F8" s="114" t="s">
        <v>149</v>
      </c>
      <c r="G8" s="116">
        <v>44774</v>
      </c>
      <c r="H8" s="165" t="s">
        <v>144</v>
      </c>
    </row>
    <row r="9" spans="1:8" ht="14.45" customHeight="1">
      <c r="A9" s="114" t="s">
        <v>136</v>
      </c>
      <c r="B9" s="114" t="s">
        <v>136</v>
      </c>
      <c r="C9" s="115" t="s">
        <v>137</v>
      </c>
      <c r="D9" s="117" t="s">
        <v>141</v>
      </c>
      <c r="E9" s="115" t="s">
        <v>150</v>
      </c>
      <c r="F9" s="114" t="s">
        <v>151</v>
      </c>
      <c r="G9" s="116">
        <v>44837</v>
      </c>
      <c r="H9" s="165" t="s">
        <v>144</v>
      </c>
    </row>
    <row r="10" spans="1:8" ht="14.45" customHeight="1">
      <c r="A10" s="114" t="s">
        <v>136</v>
      </c>
      <c r="B10" s="114" t="s">
        <v>136</v>
      </c>
      <c r="C10" s="115" t="s">
        <v>137</v>
      </c>
      <c r="D10" s="115" t="s">
        <v>152</v>
      </c>
      <c r="E10" s="115" t="s">
        <v>153</v>
      </c>
      <c r="F10" s="114" t="s">
        <v>154</v>
      </c>
      <c r="G10" s="116">
        <v>44655</v>
      </c>
      <c r="H10" s="165" t="s">
        <v>155</v>
      </c>
    </row>
    <row r="11" spans="1:8" ht="14.45" customHeight="1">
      <c r="A11" s="114" t="s">
        <v>136</v>
      </c>
      <c r="B11" s="114" t="s">
        <v>136</v>
      </c>
      <c r="C11" s="115" t="s">
        <v>137</v>
      </c>
      <c r="D11" s="115" t="s">
        <v>152</v>
      </c>
      <c r="E11" s="115" t="s">
        <v>156</v>
      </c>
      <c r="F11" s="114" t="s">
        <v>157</v>
      </c>
      <c r="G11" s="116">
        <v>40547</v>
      </c>
      <c r="H11" s="165" t="s">
        <v>158</v>
      </c>
    </row>
    <row r="12" spans="1:8" ht="14.45" customHeight="1">
      <c r="A12" s="114" t="s">
        <v>136</v>
      </c>
      <c r="B12" s="114" t="s">
        <v>136</v>
      </c>
      <c r="C12" s="115" t="s">
        <v>137</v>
      </c>
      <c r="D12" s="115" t="s">
        <v>138</v>
      </c>
      <c r="E12" s="115" t="s">
        <v>159</v>
      </c>
      <c r="F12" s="114" t="s">
        <v>160</v>
      </c>
      <c r="G12" s="116">
        <v>40863</v>
      </c>
      <c r="H12" s="165" t="s">
        <v>158</v>
      </c>
    </row>
    <row r="13" spans="1:8" ht="14.45" customHeight="1">
      <c r="A13" s="114" t="s">
        <v>136</v>
      </c>
      <c r="B13" s="114" t="s">
        <v>136</v>
      </c>
      <c r="C13" s="115" t="s">
        <v>137</v>
      </c>
      <c r="D13" s="115" t="s">
        <v>152</v>
      </c>
      <c r="E13" s="115" t="s">
        <v>161</v>
      </c>
      <c r="F13" s="114" t="s">
        <v>162</v>
      </c>
      <c r="G13" s="116">
        <v>41701</v>
      </c>
      <c r="H13" s="165" t="s">
        <v>158</v>
      </c>
    </row>
    <row r="14" spans="1:8" ht="14.45" customHeight="1">
      <c r="A14" s="114" t="s">
        <v>136</v>
      </c>
      <c r="B14" s="114" t="s">
        <v>136</v>
      </c>
      <c r="C14" s="115" t="s">
        <v>137</v>
      </c>
      <c r="D14" s="115" t="s">
        <v>163</v>
      </c>
      <c r="E14" s="115" t="s">
        <v>164</v>
      </c>
      <c r="F14" s="114" t="s">
        <v>165</v>
      </c>
      <c r="G14" s="116">
        <v>42222</v>
      </c>
      <c r="H14" s="165" t="s">
        <v>158</v>
      </c>
    </row>
    <row r="15" spans="1:8" ht="14.45" customHeight="1">
      <c r="A15" s="114" t="s">
        <v>136</v>
      </c>
      <c r="B15" s="114" t="s">
        <v>136</v>
      </c>
      <c r="C15" s="115" t="s">
        <v>137</v>
      </c>
      <c r="D15" s="115" t="s">
        <v>138</v>
      </c>
      <c r="E15" s="115" t="s">
        <v>166</v>
      </c>
      <c r="F15" s="114" t="s">
        <v>167</v>
      </c>
      <c r="G15" s="116">
        <v>44750</v>
      </c>
      <c r="H15" s="165" t="s">
        <v>158</v>
      </c>
    </row>
    <row r="16" spans="1:8" ht="14.45" customHeight="1">
      <c r="A16" s="114" t="s">
        <v>136</v>
      </c>
      <c r="B16" s="114" t="s">
        <v>136</v>
      </c>
      <c r="C16" s="115" t="s">
        <v>137</v>
      </c>
      <c r="D16" s="117" t="s">
        <v>168</v>
      </c>
      <c r="E16" s="115" t="s">
        <v>169</v>
      </c>
      <c r="F16" s="114" t="s">
        <v>170</v>
      </c>
      <c r="G16" s="116">
        <v>44851</v>
      </c>
      <c r="H16" s="165" t="s">
        <v>158</v>
      </c>
    </row>
    <row r="17" spans="1:8" ht="14.45" customHeight="1">
      <c r="A17" s="114" t="s">
        <v>136</v>
      </c>
      <c r="B17" s="114" t="s">
        <v>136</v>
      </c>
      <c r="C17" s="115" t="s">
        <v>137</v>
      </c>
      <c r="D17" s="115" t="s">
        <v>138</v>
      </c>
      <c r="E17" s="115" t="s">
        <v>171</v>
      </c>
      <c r="F17" s="114" t="s">
        <v>172</v>
      </c>
      <c r="G17" s="116">
        <v>39295</v>
      </c>
      <c r="H17" s="165" t="s">
        <v>173</v>
      </c>
    </row>
    <row r="18" spans="1:8" ht="14.45" customHeight="1">
      <c r="A18" s="114" t="s">
        <v>136</v>
      </c>
      <c r="B18" s="114" t="s">
        <v>136</v>
      </c>
      <c r="C18" s="115" t="s">
        <v>137</v>
      </c>
      <c r="D18" s="115" t="s">
        <v>163</v>
      </c>
      <c r="E18" s="115" t="s">
        <v>174</v>
      </c>
      <c r="F18" s="114" t="s">
        <v>175</v>
      </c>
      <c r="G18" s="116">
        <v>43052</v>
      </c>
      <c r="H18" s="165" t="s">
        <v>173</v>
      </c>
    </row>
    <row r="19" spans="1:8" ht="14.45" customHeight="1">
      <c r="A19" s="114" t="s">
        <v>136</v>
      </c>
      <c r="B19" s="114" t="s">
        <v>136</v>
      </c>
      <c r="C19" s="115" t="s">
        <v>137</v>
      </c>
      <c r="D19" s="115" t="s">
        <v>141</v>
      </c>
      <c r="E19" s="115" t="s">
        <v>176</v>
      </c>
      <c r="F19" s="114" t="s">
        <v>177</v>
      </c>
      <c r="G19" s="116">
        <v>44501</v>
      </c>
      <c r="H19" s="165" t="s">
        <v>178</v>
      </c>
    </row>
    <row r="20" spans="1:8" ht="14.45" customHeight="1">
      <c r="A20" s="114" t="s">
        <v>136</v>
      </c>
      <c r="B20" s="114" t="s">
        <v>136</v>
      </c>
      <c r="C20" s="115" t="s">
        <v>137</v>
      </c>
      <c r="D20" s="115" t="s">
        <v>163</v>
      </c>
      <c r="E20" s="115" t="s">
        <v>179</v>
      </c>
      <c r="F20" s="114" t="s">
        <v>180</v>
      </c>
      <c r="G20" s="116">
        <v>39601</v>
      </c>
      <c r="H20" s="165" t="s">
        <v>181</v>
      </c>
    </row>
    <row r="21" spans="1:8" ht="14.45" customHeight="1">
      <c r="A21" s="114" t="s">
        <v>136</v>
      </c>
      <c r="B21" s="114" t="s">
        <v>136</v>
      </c>
      <c r="C21" s="115" t="s">
        <v>137</v>
      </c>
      <c r="D21" s="115" t="s">
        <v>152</v>
      </c>
      <c r="E21" s="115" t="s">
        <v>182</v>
      </c>
      <c r="F21" s="114" t="s">
        <v>183</v>
      </c>
      <c r="G21" s="116">
        <v>42009</v>
      </c>
      <c r="H21" s="165" t="s">
        <v>184</v>
      </c>
    </row>
    <row r="22" spans="1:8" ht="14.45" customHeight="1">
      <c r="A22" s="114" t="s">
        <v>136</v>
      </c>
      <c r="B22" s="114" t="s">
        <v>136</v>
      </c>
      <c r="C22" s="115" t="s">
        <v>137</v>
      </c>
      <c r="D22" s="115" t="s">
        <v>168</v>
      </c>
      <c r="E22" s="115" t="s">
        <v>185</v>
      </c>
      <c r="F22" s="114" t="s">
        <v>186</v>
      </c>
      <c r="G22" s="116">
        <v>40522</v>
      </c>
      <c r="H22" s="165" t="s">
        <v>187</v>
      </c>
    </row>
    <row r="23" spans="1:8" ht="14.45" customHeight="1">
      <c r="A23" s="114" t="s">
        <v>136</v>
      </c>
      <c r="B23" s="114" t="s">
        <v>136</v>
      </c>
      <c r="C23" s="115" t="s">
        <v>137</v>
      </c>
      <c r="D23" s="115" t="s">
        <v>145</v>
      </c>
      <c r="E23" s="115" t="s">
        <v>188</v>
      </c>
      <c r="F23" s="114" t="s">
        <v>189</v>
      </c>
      <c r="G23" s="116">
        <v>40567</v>
      </c>
      <c r="H23" s="165" t="s">
        <v>190</v>
      </c>
    </row>
    <row r="24" spans="1:8" ht="14.45" customHeight="1">
      <c r="A24" s="114" t="s">
        <v>136</v>
      </c>
      <c r="B24" s="114" t="s">
        <v>136</v>
      </c>
      <c r="C24" s="115" t="s">
        <v>137</v>
      </c>
      <c r="D24" s="115" t="s">
        <v>163</v>
      </c>
      <c r="E24" s="115" t="s">
        <v>191</v>
      </c>
      <c r="F24" s="114" t="s">
        <v>192</v>
      </c>
      <c r="G24" s="116">
        <v>40725</v>
      </c>
      <c r="H24" s="165" t="s">
        <v>190</v>
      </c>
    </row>
    <row r="25" spans="1:8" ht="14.45" customHeight="1">
      <c r="A25" s="114" t="s">
        <v>136</v>
      </c>
      <c r="B25" s="114" t="s">
        <v>136</v>
      </c>
      <c r="C25" s="115" t="s">
        <v>137</v>
      </c>
      <c r="D25" s="115" t="s">
        <v>152</v>
      </c>
      <c r="E25" s="115" t="s">
        <v>193</v>
      </c>
      <c r="F25" s="114" t="s">
        <v>194</v>
      </c>
      <c r="G25" s="116">
        <v>44644</v>
      </c>
      <c r="H25" s="165" t="s">
        <v>190</v>
      </c>
    </row>
    <row r="26" spans="1:8" ht="14.45" customHeight="1">
      <c r="A26" s="114" t="s">
        <v>136</v>
      </c>
      <c r="B26" s="114" t="s">
        <v>136</v>
      </c>
      <c r="C26" s="115" t="s">
        <v>137</v>
      </c>
      <c r="D26" s="115" t="s">
        <v>163</v>
      </c>
      <c r="E26" s="115" t="s">
        <v>195</v>
      </c>
      <c r="F26" s="114" t="s">
        <v>196</v>
      </c>
      <c r="G26" s="116">
        <v>40695</v>
      </c>
      <c r="H26" s="165" t="s">
        <v>197</v>
      </c>
    </row>
    <row r="27" spans="1:8" ht="14.45" customHeight="1">
      <c r="A27" s="114" t="s">
        <v>136</v>
      </c>
      <c r="B27" s="114" t="s">
        <v>136</v>
      </c>
      <c r="C27" s="115" t="s">
        <v>137</v>
      </c>
      <c r="D27" s="115" t="s">
        <v>163</v>
      </c>
      <c r="E27" s="115" t="s">
        <v>198</v>
      </c>
      <c r="F27" s="114" t="s">
        <v>199</v>
      </c>
      <c r="G27" s="116">
        <v>42143</v>
      </c>
      <c r="H27" s="165" t="s">
        <v>197</v>
      </c>
    </row>
    <row r="28" spans="1:8" ht="14.45" customHeight="1">
      <c r="A28" s="114" t="s">
        <v>136</v>
      </c>
      <c r="B28" s="114" t="s">
        <v>136</v>
      </c>
      <c r="C28" s="115" t="s">
        <v>137</v>
      </c>
      <c r="D28" s="115" t="s">
        <v>168</v>
      </c>
      <c r="E28" s="115" t="s">
        <v>200</v>
      </c>
      <c r="F28" s="114" t="s">
        <v>201</v>
      </c>
      <c r="G28" s="116">
        <v>43346</v>
      </c>
      <c r="H28" s="165" t="s">
        <v>202</v>
      </c>
    </row>
    <row r="29" spans="1:8" ht="14.45" customHeight="1">
      <c r="A29" s="114" t="s">
        <v>136</v>
      </c>
      <c r="B29" s="114" t="s">
        <v>136</v>
      </c>
      <c r="C29" s="115" t="s">
        <v>137</v>
      </c>
      <c r="D29" s="115" t="s">
        <v>168</v>
      </c>
      <c r="E29" s="115" t="s">
        <v>203</v>
      </c>
      <c r="F29" s="114" t="s">
        <v>204</v>
      </c>
      <c r="G29" s="116">
        <v>40863</v>
      </c>
      <c r="H29" s="165" t="s">
        <v>205</v>
      </c>
    </row>
    <row r="30" spans="1:8" ht="14.45" customHeight="1">
      <c r="A30" s="114" t="s">
        <v>136</v>
      </c>
      <c r="B30" s="114" t="s">
        <v>136</v>
      </c>
      <c r="C30" s="115" t="s">
        <v>137</v>
      </c>
      <c r="D30" s="115" t="s">
        <v>168</v>
      </c>
      <c r="E30" s="115" t="s">
        <v>206</v>
      </c>
      <c r="F30" s="114" t="s">
        <v>207</v>
      </c>
      <c r="G30" s="116">
        <v>41822</v>
      </c>
      <c r="H30" s="165" t="s">
        <v>208</v>
      </c>
    </row>
    <row r="31" spans="1:8" ht="14.45" customHeight="1">
      <c r="A31" s="114" t="s">
        <v>136</v>
      </c>
      <c r="B31" s="114" t="s">
        <v>136</v>
      </c>
      <c r="C31" s="115" t="s">
        <v>137</v>
      </c>
      <c r="D31" s="115" t="s">
        <v>138</v>
      </c>
      <c r="E31" s="115" t="s">
        <v>209</v>
      </c>
      <c r="F31" s="114" t="s">
        <v>210</v>
      </c>
      <c r="G31" s="116">
        <v>39063</v>
      </c>
      <c r="H31" s="165" t="s">
        <v>211</v>
      </c>
    </row>
    <row r="32" spans="1:8" ht="14.45" customHeight="1">
      <c r="A32" s="114" t="s">
        <v>136</v>
      </c>
      <c r="B32" s="114" t="s">
        <v>136</v>
      </c>
      <c r="C32" s="115" t="s">
        <v>137</v>
      </c>
      <c r="D32" s="115" t="s">
        <v>138</v>
      </c>
      <c r="E32" s="115" t="s">
        <v>212</v>
      </c>
      <c r="F32" s="114" t="s">
        <v>213</v>
      </c>
      <c r="G32" s="116">
        <v>39650</v>
      </c>
      <c r="H32" s="165" t="s">
        <v>211</v>
      </c>
    </row>
    <row r="33" spans="1:8" ht="14.45" customHeight="1">
      <c r="A33" s="114" t="s">
        <v>136</v>
      </c>
      <c r="B33" s="114" t="s">
        <v>136</v>
      </c>
      <c r="C33" s="115" t="s">
        <v>137</v>
      </c>
      <c r="D33" s="115" t="s">
        <v>138</v>
      </c>
      <c r="E33" s="115" t="s">
        <v>214</v>
      </c>
      <c r="F33" s="114" t="s">
        <v>215</v>
      </c>
      <c r="G33" s="116">
        <v>40544</v>
      </c>
      <c r="H33" s="165" t="s">
        <v>211</v>
      </c>
    </row>
    <row r="34" spans="1:8" ht="14.45" customHeight="1">
      <c r="A34" s="114" t="s">
        <v>136</v>
      </c>
      <c r="B34" s="114" t="s">
        <v>136</v>
      </c>
      <c r="C34" s="115" t="s">
        <v>137</v>
      </c>
      <c r="D34" s="115" t="s">
        <v>138</v>
      </c>
      <c r="E34" s="115" t="s">
        <v>216</v>
      </c>
      <c r="F34" s="114" t="s">
        <v>217</v>
      </c>
      <c r="G34" s="116">
        <v>40820</v>
      </c>
      <c r="H34" s="165" t="s">
        <v>211</v>
      </c>
    </row>
    <row r="35" spans="1:8" ht="14.45" customHeight="1">
      <c r="A35" s="114" t="s">
        <v>136</v>
      </c>
      <c r="B35" s="114" t="s">
        <v>136</v>
      </c>
      <c r="C35" s="115" t="s">
        <v>137</v>
      </c>
      <c r="D35" s="115" t="s">
        <v>138</v>
      </c>
      <c r="E35" s="115" t="s">
        <v>218</v>
      </c>
      <c r="F35" s="114" t="s">
        <v>219</v>
      </c>
      <c r="G35" s="116">
        <v>43710</v>
      </c>
      <c r="H35" s="165" t="s">
        <v>211</v>
      </c>
    </row>
    <row r="36" spans="1:8" ht="14.45" customHeight="1">
      <c r="A36" s="114" t="s">
        <v>136</v>
      </c>
      <c r="B36" s="114" t="s">
        <v>136</v>
      </c>
      <c r="C36" s="115" t="s">
        <v>137</v>
      </c>
      <c r="D36" s="115" t="s">
        <v>138</v>
      </c>
      <c r="E36" s="115" t="s">
        <v>220</v>
      </c>
      <c r="F36" s="114" t="s">
        <v>221</v>
      </c>
      <c r="G36" s="116">
        <v>44690</v>
      </c>
      <c r="H36" s="165" t="s">
        <v>211</v>
      </c>
    </row>
    <row r="37" spans="1:8" ht="14.45" customHeight="1">
      <c r="A37" s="114" t="s">
        <v>136</v>
      </c>
      <c r="B37" s="114" t="s">
        <v>136</v>
      </c>
      <c r="C37" s="115" t="s">
        <v>137</v>
      </c>
      <c r="D37" s="115" t="s">
        <v>168</v>
      </c>
      <c r="E37" s="115" t="s">
        <v>222</v>
      </c>
      <c r="F37" s="114" t="s">
        <v>223</v>
      </c>
      <c r="G37" s="116">
        <v>44501</v>
      </c>
      <c r="H37" s="165" t="s">
        <v>224</v>
      </c>
    </row>
    <row r="38" spans="1:8" ht="14.45" customHeight="1">
      <c r="A38" s="114" t="s">
        <v>136</v>
      </c>
      <c r="B38" s="114" t="s">
        <v>136</v>
      </c>
      <c r="C38" s="115" t="s">
        <v>137</v>
      </c>
      <c r="D38" s="163" t="s">
        <v>152</v>
      </c>
      <c r="E38" s="163" t="s">
        <v>269</v>
      </c>
      <c r="F38" s="164" t="s">
        <v>268</v>
      </c>
      <c r="G38" s="166">
        <v>44881</v>
      </c>
      <c r="H38" s="165" t="s">
        <v>224</v>
      </c>
    </row>
    <row r="39" spans="1:8" ht="14.45" customHeight="1">
      <c r="A39" s="114" t="s">
        <v>136</v>
      </c>
      <c r="B39" s="114" t="s">
        <v>136</v>
      </c>
      <c r="C39" s="115" t="s">
        <v>137</v>
      </c>
      <c r="D39" s="117" t="s">
        <v>163</v>
      </c>
      <c r="E39" s="115" t="s">
        <v>225</v>
      </c>
      <c r="F39" s="114" t="s">
        <v>226</v>
      </c>
      <c r="G39" s="116">
        <v>44753</v>
      </c>
      <c r="H39" s="165" t="s">
        <v>227</v>
      </c>
    </row>
    <row r="40" spans="1:8" ht="14.45" customHeight="1">
      <c r="A40" s="114" t="s">
        <v>136</v>
      </c>
      <c r="B40" s="114" t="s">
        <v>136</v>
      </c>
      <c r="C40" s="115" t="s">
        <v>137</v>
      </c>
      <c r="D40" s="117" t="s">
        <v>141</v>
      </c>
      <c r="E40" s="115" t="s">
        <v>228</v>
      </c>
      <c r="F40" s="114" t="s">
        <v>229</v>
      </c>
      <c r="G40" s="116">
        <v>44858</v>
      </c>
      <c r="H40" s="165" t="s">
        <v>230</v>
      </c>
    </row>
    <row r="41" spans="1:8" ht="14.45" customHeight="1">
      <c r="A41" s="114" t="s">
        <v>136</v>
      </c>
      <c r="B41" s="114" t="s">
        <v>136</v>
      </c>
      <c r="C41" s="115" t="s">
        <v>137</v>
      </c>
      <c r="D41" s="115" t="s">
        <v>163</v>
      </c>
      <c r="E41" s="115" t="s">
        <v>231</v>
      </c>
      <c r="F41" s="114" t="s">
        <v>232</v>
      </c>
      <c r="G41" s="116">
        <v>44137</v>
      </c>
      <c r="H41" s="165" t="s">
        <v>233</v>
      </c>
    </row>
    <row r="42" spans="1:8" ht="14.45" customHeight="1">
      <c r="A42" s="114" t="s">
        <v>136</v>
      </c>
      <c r="B42" s="114" t="s">
        <v>136</v>
      </c>
      <c r="C42" s="115" t="s">
        <v>137</v>
      </c>
      <c r="D42" s="115" t="s">
        <v>152</v>
      </c>
      <c r="E42" s="115" t="s">
        <v>234</v>
      </c>
      <c r="F42" s="114" t="s">
        <v>235</v>
      </c>
      <c r="G42" s="116">
        <v>43496</v>
      </c>
      <c r="H42" s="165" t="s">
        <v>236</v>
      </c>
    </row>
    <row r="43" spans="1:8" ht="14.45" customHeight="1">
      <c r="A43" s="114" t="s">
        <v>136</v>
      </c>
      <c r="B43" s="114" t="s">
        <v>136</v>
      </c>
      <c r="C43" s="115" t="s">
        <v>137</v>
      </c>
      <c r="D43" s="115" t="s">
        <v>152</v>
      </c>
      <c r="E43" s="115" t="s">
        <v>237</v>
      </c>
      <c r="F43" s="114" t="s">
        <v>238</v>
      </c>
      <c r="G43" s="116">
        <v>44075</v>
      </c>
      <c r="H43" s="165" t="s">
        <v>236</v>
      </c>
    </row>
    <row r="44" spans="1:8" ht="14.45" customHeight="1">
      <c r="A44" s="114" t="s">
        <v>136</v>
      </c>
      <c r="B44" s="114" t="s">
        <v>136</v>
      </c>
      <c r="C44" s="115" t="s">
        <v>137</v>
      </c>
      <c r="D44" s="115" t="s">
        <v>141</v>
      </c>
      <c r="E44" s="115" t="s">
        <v>239</v>
      </c>
      <c r="F44" s="114" t="s">
        <v>240</v>
      </c>
      <c r="G44" s="116">
        <v>42945</v>
      </c>
      <c r="H44" s="165" t="s">
        <v>241</v>
      </c>
    </row>
    <row r="45" spans="1:8" ht="14.45" customHeight="1">
      <c r="A45" s="114" t="s">
        <v>136</v>
      </c>
      <c r="B45" s="114" t="s">
        <v>136</v>
      </c>
      <c r="C45" s="115" t="s">
        <v>137</v>
      </c>
      <c r="D45" s="115" t="s">
        <v>163</v>
      </c>
      <c r="E45" s="115" t="s">
        <v>242</v>
      </c>
      <c r="F45" s="114" t="s">
        <v>243</v>
      </c>
      <c r="G45" s="116">
        <v>42522</v>
      </c>
      <c r="H45" s="165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SLIP</vt:lpstr>
      <vt:lpstr>REPORT GAJI</vt:lpstr>
      <vt:lpstr>BPJS HEALTH REPORT</vt:lpstr>
      <vt:lpstr>BPJS TK REPORT</vt:lpstr>
      <vt:lpstr>REPORT TAX PER EMPL</vt:lpstr>
      <vt:lpstr>Sheet1</vt:lpstr>
      <vt:lpstr>DIV CODE N GRADE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Planning</dc:creator>
  <cp:lastModifiedBy>kindy</cp:lastModifiedBy>
  <cp:lastPrinted>2022-11-01T02:02:05Z</cp:lastPrinted>
  <dcterms:created xsi:type="dcterms:W3CDTF">2022-10-26T11:47:49Z</dcterms:created>
  <dcterms:modified xsi:type="dcterms:W3CDTF">2023-03-03T08:21:12Z</dcterms:modified>
</cp:coreProperties>
</file>