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A\Documents\HRD PT BIA\4. Payroll\GAJI BIA - HO JAKARTA\SLIP GAJI\"/>
    </mc:Choice>
  </mc:AlternateContent>
  <bookViews>
    <workbookView xWindow="0" yWindow="0" windowWidth="19200" windowHeight="6720" firstSheet="2" activeTab="5"/>
  </bookViews>
  <sheets>
    <sheet name="SLIP" sheetId="3" r:id="rId1"/>
    <sheet name="REPORT GAJI" sheetId="5" r:id="rId2"/>
    <sheet name="BPJS HEALTH REPORT" sheetId="6" r:id="rId3"/>
    <sheet name="BPJS TK REPORT" sheetId="7" r:id="rId4"/>
    <sheet name="REPORT TAX PER EMPL" sheetId="8" r:id="rId5"/>
    <sheet name="DIV CODE N GRADE" sheetId="10" r:id="rId6"/>
  </sheets>
  <calcPr calcId="152511"/>
</workbook>
</file>

<file path=xl/calcChain.xml><?xml version="1.0" encoding="utf-8"?>
<calcChain xmlns="http://schemas.openxmlformats.org/spreadsheetml/2006/main">
  <c r="K7" i="8" l="1"/>
  <c r="W9" i="5" l="1"/>
  <c r="AF9" i="5"/>
  <c r="AG9" i="5" l="1"/>
  <c r="I9" i="8"/>
  <c r="I8" i="8"/>
  <c r="H19" i="8" l="1"/>
  <c r="G19" i="8"/>
  <c r="F19" i="8"/>
  <c r="E19" i="8"/>
  <c r="AH18" i="8"/>
  <c r="AH17" i="8"/>
  <c r="AH16" i="8"/>
  <c r="AH15" i="8"/>
  <c r="AH14" i="8"/>
  <c r="AH13" i="8"/>
  <c r="AH12" i="8"/>
  <c r="AH11" i="8"/>
  <c r="AH10" i="8"/>
  <c r="AH9" i="8"/>
  <c r="AH8" i="8"/>
  <c r="AH7" i="8"/>
  <c r="L7" i="8"/>
  <c r="S18" i="8"/>
  <c r="S17" i="8"/>
  <c r="S16" i="8"/>
  <c r="S15" i="8"/>
  <c r="S14" i="8"/>
  <c r="S13" i="8"/>
  <c r="S12" i="8"/>
  <c r="S11" i="8"/>
  <c r="S10" i="8"/>
  <c r="S9" i="8"/>
  <c r="S8" i="8"/>
  <c r="S7" i="8"/>
  <c r="R18" i="8"/>
  <c r="T18" i="8" s="1"/>
  <c r="R17" i="8"/>
  <c r="R16" i="8"/>
  <c r="R15" i="8"/>
  <c r="R14" i="8"/>
  <c r="R13" i="8"/>
  <c r="R12" i="8"/>
  <c r="R11" i="8"/>
  <c r="T11" i="8" s="1"/>
  <c r="R10" i="8"/>
  <c r="T10" i="8" s="1"/>
  <c r="R9" i="8"/>
  <c r="R8" i="8"/>
  <c r="R7" i="8"/>
  <c r="L18" i="8"/>
  <c r="L17" i="8"/>
  <c r="L16" i="8"/>
  <c r="L15" i="8"/>
  <c r="L14" i="8"/>
  <c r="L13" i="8"/>
  <c r="L12" i="8"/>
  <c r="L11" i="8"/>
  <c r="L10" i="8"/>
  <c r="L9" i="8"/>
  <c r="L8" i="8"/>
  <c r="Y19" i="8"/>
  <c r="D19" i="8"/>
  <c r="AA18" i="8"/>
  <c r="AA19" i="8" s="1"/>
  <c r="K18" i="8"/>
  <c r="I18" i="8"/>
  <c r="J18" i="8" s="1"/>
  <c r="AA17" i="8"/>
  <c r="K17" i="8"/>
  <c r="I17" i="8"/>
  <c r="J17" i="8" s="1"/>
  <c r="AA16" i="8"/>
  <c r="K16" i="8"/>
  <c r="I16" i="8"/>
  <c r="J16" i="8" s="1"/>
  <c r="AA15" i="8"/>
  <c r="K15" i="8"/>
  <c r="I15" i="8"/>
  <c r="J15" i="8" s="1"/>
  <c r="AA14" i="8"/>
  <c r="K14" i="8"/>
  <c r="I14" i="8"/>
  <c r="J14" i="8" s="1"/>
  <c r="AA13" i="8"/>
  <c r="K13" i="8"/>
  <c r="I13" i="8"/>
  <c r="J13" i="8" s="1"/>
  <c r="AA12" i="8"/>
  <c r="K12" i="8"/>
  <c r="I12" i="8"/>
  <c r="J12" i="8" s="1"/>
  <c r="AA11" i="8"/>
  <c r="K11" i="8"/>
  <c r="I11" i="8"/>
  <c r="J11" i="8" s="1"/>
  <c r="AA10" i="8"/>
  <c r="K10" i="8"/>
  <c r="I10" i="8"/>
  <c r="J10" i="8" s="1"/>
  <c r="AA9" i="8"/>
  <c r="K9" i="8"/>
  <c r="J9" i="8"/>
  <c r="AA8" i="8"/>
  <c r="K8" i="8"/>
  <c r="J8" i="8"/>
  <c r="AA7" i="8"/>
  <c r="O7" i="8"/>
  <c r="O8" i="8" s="1"/>
  <c r="O9" i="8" s="1"/>
  <c r="I7" i="8"/>
  <c r="T12" i="8" l="1"/>
  <c r="T13" i="8"/>
  <c r="T14" i="8"/>
  <c r="S19" i="8"/>
  <c r="I19" i="8"/>
  <c r="U7" i="8"/>
  <c r="T15" i="8"/>
  <c r="T8" i="8"/>
  <c r="U8" i="8" s="1"/>
  <c r="T16" i="8"/>
  <c r="T9" i="8"/>
  <c r="T17" i="8"/>
  <c r="T7" i="8"/>
  <c r="J7" i="8"/>
  <c r="J19" i="8" s="1"/>
  <c r="O10" i="8"/>
  <c r="O11" i="8" s="1"/>
  <c r="O12" i="8" s="1"/>
  <c r="O13" i="8" s="1"/>
  <c r="O14" i="8" s="1"/>
  <c r="O15" i="8" s="1"/>
  <c r="O16" i="8" s="1"/>
  <c r="O17" i="8" s="1"/>
  <c r="O18" i="8" s="1"/>
  <c r="O19" i="8" s="1"/>
  <c r="M7" i="8"/>
  <c r="N19" i="8"/>
  <c r="K19" i="8"/>
  <c r="L19" i="8"/>
  <c r="R19" i="8"/>
  <c r="U9" i="8" l="1"/>
  <c r="U10" i="8" s="1"/>
  <c r="U11" i="8" s="1"/>
  <c r="U12" i="8" s="1"/>
  <c r="U13" i="8" s="1"/>
  <c r="U14" i="8" s="1"/>
  <c r="U15" i="8" s="1"/>
  <c r="U16" i="8" s="1"/>
  <c r="U17" i="8" s="1"/>
  <c r="U18" i="8" s="1"/>
  <c r="U19" i="8" s="1"/>
  <c r="T19" i="8"/>
  <c r="M19" i="8"/>
  <c r="P19" i="8" s="1"/>
  <c r="P7" i="8"/>
  <c r="M8" i="8"/>
  <c r="P8" i="8" l="1"/>
  <c r="M9" i="8"/>
  <c r="Q7" i="8"/>
  <c r="V7" i="8" s="1"/>
  <c r="W7" i="8" s="1"/>
  <c r="X7" i="8" s="1"/>
  <c r="Z7" i="8" s="1"/>
  <c r="AB7" i="8" s="1"/>
  <c r="AC7" i="8" s="1"/>
  <c r="AD7" i="8" s="1"/>
  <c r="AE7" i="8" s="1"/>
  <c r="AF7" i="8"/>
  <c r="AI7" i="8" l="1"/>
  <c r="P9" i="8"/>
  <c r="M10" i="8"/>
  <c r="Q8" i="8"/>
  <c r="AF8" i="8"/>
  <c r="AG8" i="8" s="1"/>
  <c r="AG7" i="8"/>
  <c r="V8" i="8" l="1"/>
  <c r="W8" i="8" s="1"/>
  <c r="X8" i="8" s="1"/>
  <c r="Z8" i="8" s="1"/>
  <c r="AB8" i="8" s="1"/>
  <c r="AC8" i="8" s="1"/>
  <c r="AD8" i="8" s="1"/>
  <c r="AE8" i="8" s="1"/>
  <c r="AI8" i="8" s="1"/>
  <c r="P10" i="8"/>
  <c r="M11" i="8"/>
  <c r="Q9" i="8"/>
  <c r="AF9" i="8"/>
  <c r="AG9" i="8" s="1"/>
  <c r="V9" i="8" l="1"/>
  <c r="W9" i="8" s="1"/>
  <c r="X9" i="8" s="1"/>
  <c r="Z9" i="8" s="1"/>
  <c r="AB9" i="8" s="1"/>
  <c r="AC9" i="8" s="1"/>
  <c r="AD9" i="8" s="1"/>
  <c r="AE9" i="8" s="1"/>
  <c r="AI9" i="8" s="1"/>
  <c r="AF10" i="8"/>
  <c r="AG10" i="8" s="1"/>
  <c r="Q10" i="8"/>
  <c r="P11" i="8"/>
  <c r="M12" i="8"/>
  <c r="V10" i="8" l="1"/>
  <c r="W10" i="8" s="1"/>
  <c r="X10" i="8" s="1"/>
  <c r="Z10" i="8" s="1"/>
  <c r="AB10" i="8" s="1"/>
  <c r="AC10" i="8" s="1"/>
  <c r="AD10" i="8" s="1"/>
  <c r="AE10" i="8" s="1"/>
  <c r="P12" i="8"/>
  <c r="M13" i="8"/>
  <c r="Q11" i="8"/>
  <c r="AF11" i="8"/>
  <c r="V11" i="8" l="1"/>
  <c r="W11" i="8" s="1"/>
  <c r="X11" i="8" s="1"/>
  <c r="Z11" i="8" s="1"/>
  <c r="AB11" i="8" s="1"/>
  <c r="AC11" i="8" s="1"/>
  <c r="AD11" i="8" s="1"/>
  <c r="AE11" i="8" s="1"/>
  <c r="AI11" i="8" s="1"/>
  <c r="AI10" i="8"/>
  <c r="AG11" i="8"/>
  <c r="P13" i="8"/>
  <c r="M14" i="8"/>
  <c r="AF12" i="8"/>
  <c r="AG12" i="8" s="1"/>
  <c r="Q12" i="8"/>
  <c r="V12" i="8" l="1"/>
  <c r="W12" i="8" s="1"/>
  <c r="X12" i="8" s="1"/>
  <c r="Z12" i="8" s="1"/>
  <c r="AB12" i="8" s="1"/>
  <c r="AC12" i="8" s="1"/>
  <c r="AD12" i="8" s="1"/>
  <c r="AE12" i="8" s="1"/>
  <c r="AI12" i="8" s="1"/>
  <c r="P14" i="8"/>
  <c r="M15" i="8"/>
  <c r="Q13" i="8"/>
  <c r="AF13" i="8"/>
  <c r="AG13" i="8" s="1"/>
  <c r="V13" i="8" l="1"/>
  <c r="W13" i="8" s="1"/>
  <c r="X13" i="8" s="1"/>
  <c r="Z13" i="8" s="1"/>
  <c r="AB13" i="8" s="1"/>
  <c r="AC13" i="8" s="1"/>
  <c r="AD13" i="8" s="1"/>
  <c r="AE13" i="8" s="1"/>
  <c r="AI13" i="8" s="1"/>
  <c r="Q14" i="8"/>
  <c r="AF14" i="8"/>
  <c r="AG14" i="8" s="1"/>
  <c r="P15" i="8"/>
  <c r="M16" i="8"/>
  <c r="V14" i="8" l="1"/>
  <c r="W14" i="8" s="1"/>
  <c r="X14" i="8" s="1"/>
  <c r="Z14" i="8" s="1"/>
  <c r="AB14" i="8" s="1"/>
  <c r="AC14" i="8" s="1"/>
  <c r="AD14" i="8" s="1"/>
  <c r="AE14" i="8" s="1"/>
  <c r="AI14" i="8" s="1"/>
  <c r="P16" i="8"/>
  <c r="M17" i="8"/>
  <c r="AF15" i="8"/>
  <c r="AG15" i="8" s="1"/>
  <c r="Q15" i="8"/>
  <c r="V15" i="8" l="1"/>
  <c r="W15" i="8" s="1"/>
  <c r="X15" i="8" s="1"/>
  <c r="Z15" i="8" s="1"/>
  <c r="AB15" i="8" s="1"/>
  <c r="AC15" i="8" s="1"/>
  <c r="AD15" i="8" s="1"/>
  <c r="AE15" i="8" s="1"/>
  <c r="AI15" i="8" s="1"/>
  <c r="AF16" i="8"/>
  <c r="AG16" i="8" s="1"/>
  <c r="Q16" i="8"/>
  <c r="P17" i="8"/>
  <c r="M18" i="8"/>
  <c r="P18" i="8" s="1"/>
  <c r="V16" i="8" l="1"/>
  <c r="W16" i="8" s="1"/>
  <c r="X16" i="8" s="1"/>
  <c r="Z16" i="8" s="1"/>
  <c r="AB16" i="8" s="1"/>
  <c r="AC16" i="8" s="1"/>
  <c r="AD16" i="8" s="1"/>
  <c r="AE16" i="8" s="1"/>
  <c r="AI16" i="8" s="1"/>
  <c r="Q18" i="8"/>
  <c r="V18" i="8" s="1"/>
  <c r="AF18" i="8"/>
  <c r="AG18" i="8" s="1"/>
  <c r="AF17" i="8"/>
  <c r="AG17" i="8" s="1"/>
  <c r="Q17" i="8"/>
  <c r="V17" i="8" l="1"/>
  <c r="W17" i="8" s="1"/>
  <c r="X17" i="8" s="1"/>
  <c r="Z17" i="8" s="1"/>
  <c r="AB17" i="8" s="1"/>
  <c r="AC17" i="8" s="1"/>
  <c r="AD17" i="8" s="1"/>
  <c r="AE17" i="8" s="1"/>
  <c r="AI17" i="8" s="1"/>
  <c r="AF19" i="8"/>
  <c r="AG19" i="8"/>
  <c r="W18" i="8"/>
  <c r="X18" i="8" s="1"/>
  <c r="Q19" i="8"/>
  <c r="V19" i="8" s="1"/>
  <c r="W19" i="8" s="1"/>
  <c r="X19" i="8" l="1"/>
  <c r="Z19" i="8" s="1"/>
  <c r="AB19" i="8" s="1"/>
  <c r="AC19" i="8" s="1"/>
  <c r="AD19" i="8" s="1"/>
  <c r="Z18" i="8"/>
  <c r="AB18" i="8" s="1"/>
  <c r="AC18" i="8" s="1"/>
  <c r="AD18" i="8" s="1"/>
  <c r="AE18" i="8" s="1"/>
  <c r="AI18" i="8" l="1"/>
  <c r="AE19" i="8"/>
  <c r="A9" i="7" l="1"/>
  <c r="A10" i="7" s="1"/>
  <c r="A11" i="7" s="1"/>
  <c r="A4" i="7"/>
  <c r="D4" i="7" s="1"/>
  <c r="A8" i="6"/>
  <c r="A9" i="6" s="1"/>
  <c r="A10" i="6" s="1"/>
  <c r="A4" i="6"/>
  <c r="D4" i="6" s="1"/>
  <c r="B10" i="5" l="1"/>
  <c r="B11" i="5" s="1"/>
  <c r="B12" i="5" s="1"/>
  <c r="D28" i="3" l="1"/>
  <c r="J28" i="3"/>
  <c r="D30" i="3" l="1"/>
</calcChain>
</file>

<file path=xl/comments1.xml><?xml version="1.0" encoding="utf-8"?>
<comments xmlns="http://schemas.openxmlformats.org/spreadsheetml/2006/main">
  <authors>
    <author>BIA</author>
  </authors>
  <commentList>
    <comment ref="L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0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5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6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7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8" authorId="0" shapeId="0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</commentList>
</comments>
</file>

<file path=xl/sharedStrings.xml><?xml version="1.0" encoding="utf-8"?>
<sst xmlns="http://schemas.openxmlformats.org/spreadsheetml/2006/main" count="529" uniqueCount="264">
  <si>
    <t>:</t>
  </si>
  <si>
    <t>Rapel</t>
  </si>
  <si>
    <t>xxx</t>
  </si>
  <si>
    <t>AREA</t>
  </si>
  <si>
    <t>Name</t>
  </si>
  <si>
    <t>Posititon</t>
  </si>
  <si>
    <t>Department</t>
  </si>
  <si>
    <t>Marital Status</t>
  </si>
  <si>
    <t>22043030</t>
  </si>
  <si>
    <t>Date of Join</t>
  </si>
  <si>
    <t>Basic Salary</t>
  </si>
  <si>
    <t>Overtime Substituted</t>
  </si>
  <si>
    <t>Position Allowance</t>
  </si>
  <si>
    <t>Functional Allowance</t>
  </si>
  <si>
    <t>Attendance Allowance</t>
  </si>
  <si>
    <t>Overtime / Premi</t>
  </si>
  <si>
    <t>Bonus</t>
  </si>
  <si>
    <t>Hari Raya Allowance</t>
  </si>
  <si>
    <t>Adjustment</t>
  </si>
  <si>
    <t>Loan</t>
  </si>
  <si>
    <t>BPJS Health</t>
  </si>
  <si>
    <t>BPJS Pension</t>
  </si>
  <si>
    <t>BPJS Jaminan Hari Tua</t>
  </si>
  <si>
    <t>Income Tax 21</t>
  </si>
  <si>
    <t>Absence</t>
  </si>
  <si>
    <t>Total Deduction</t>
  </si>
  <si>
    <t>Total Income</t>
  </si>
  <si>
    <t>Grade</t>
  </si>
  <si>
    <t>Take Home Paid</t>
  </si>
  <si>
    <t>XXX</t>
  </si>
  <si>
    <t>YYY</t>
  </si>
  <si>
    <t>INCOME</t>
  </si>
  <si>
    <t>DEDUCTION</t>
  </si>
  <si>
    <t xml:space="preserve">PT. BIO INTI AGRINDO  </t>
  </si>
  <si>
    <t>NO</t>
  </si>
  <si>
    <t>NAME</t>
  </si>
  <si>
    <t>DEPARTMENT</t>
  </si>
  <si>
    <t>BASIC              SALARY</t>
  </si>
  <si>
    <t>SUBSTITUTE         OVERTIME</t>
  </si>
  <si>
    <t>FUNCTIONAL ALLOWANCE</t>
  </si>
  <si>
    <t>ATTENDANCE ALLOWANCE</t>
  </si>
  <si>
    <t>ADJUSTMENT</t>
  </si>
  <si>
    <t>BRUTTO         SALARY</t>
  </si>
  <si>
    <t xml:space="preserve">JABATAN </t>
  </si>
  <si>
    <t>KEHADIRAN</t>
  </si>
  <si>
    <t>TOTAL</t>
  </si>
  <si>
    <t>Calculation Salary Employees Jakarta</t>
  </si>
  <si>
    <t>OVERTIME  / PREMI</t>
  </si>
  <si>
    <t>POSITION ALLOWANCE</t>
  </si>
  <si>
    <t>HARI RAYA</t>
  </si>
  <si>
    <t>BONUS</t>
  </si>
  <si>
    <t>RAPEL SALARY</t>
  </si>
  <si>
    <t>RAPEL OVERTIME</t>
  </si>
  <si>
    <t xml:space="preserve">NIK </t>
  </si>
  <si>
    <t>BENTUK MONTHLY SALARY REPORT</t>
  </si>
  <si>
    <t>POSITION</t>
  </si>
  <si>
    <t>GRADE</t>
  </si>
  <si>
    <t>MARITAL STATUS</t>
  </si>
  <si>
    <t>ABSENCE</t>
  </si>
  <si>
    <t>LOAN</t>
  </si>
  <si>
    <t>INCOME TAX 21</t>
  </si>
  <si>
    <t>DATE OF JOIN</t>
  </si>
  <si>
    <t>TAKE HOME PAID</t>
  </si>
  <si>
    <t>BASIC SALARY + ALL FIX ALLOWANCE</t>
  </si>
  <si>
    <t>MAX CALCULATION</t>
  </si>
  <si>
    <t>Based on gvernment regulation must updated every year by APRO or ADMIN if there is change from Government</t>
  </si>
  <si>
    <t>BPJS HEALTH REPORT</t>
  </si>
  <si>
    <t>BPJS TENAGA KERJA REPORT</t>
  </si>
  <si>
    <t>MAX CALCULATION JAMINAN PENSIUN</t>
  </si>
  <si>
    <t>Death assurance</t>
  </si>
  <si>
    <t>Accident assurance</t>
  </si>
  <si>
    <t>Jaminan Hari Tua</t>
  </si>
  <si>
    <t>Jaminan Pensiun</t>
  </si>
  <si>
    <t>0.24%</t>
  </si>
  <si>
    <t>BY COMPANY</t>
  </si>
  <si>
    <t>BY EMPLOYEE</t>
  </si>
  <si>
    <t>Income Tax Calculation</t>
  </si>
  <si>
    <t>Month</t>
  </si>
  <si>
    <t>Status</t>
  </si>
  <si>
    <t>Join date</t>
  </si>
  <si>
    <t>Other Allowances</t>
  </si>
  <si>
    <t>Total Regular Income (F+J+K+L+M)</t>
  </si>
  <si>
    <t>Irregular Income (THR / Bonus)</t>
  </si>
  <si>
    <t>Irregular Income (THR / Bonus) Accumulated</t>
  </si>
  <si>
    <t>Gross Income
(M+O)</t>
  </si>
  <si>
    <t>Occ suport (max 5%)</t>
  </si>
  <si>
    <t>Insurance premium paid by employee
(Accumulated)</t>
  </si>
  <si>
    <t>Total Deduction (Q+S)</t>
  </si>
  <si>
    <t>Monthly Regular Net Income
(P - T)</t>
  </si>
  <si>
    <t>Annualized</t>
  </si>
  <si>
    <t>Monthly Inc Tax Due</t>
  </si>
  <si>
    <t>Current month Inc Tax Due</t>
  </si>
  <si>
    <t>Gross Income</t>
  </si>
  <si>
    <t>Difference</t>
  </si>
  <si>
    <t>Receive Salary</t>
  </si>
  <si>
    <t>Over Time</t>
  </si>
  <si>
    <t>JKK + JKM
(0,24% + 0,30%)</t>
  </si>
  <si>
    <t>JPK / 
BPJS (4%)</t>
  </si>
  <si>
    <t xml:space="preserve">Regular Net Income </t>
  </si>
  <si>
    <t>Irregular Income</t>
  </si>
  <si>
    <t>Total Net Income (V+W)</t>
  </si>
  <si>
    <t>Non Taxable Income</t>
  </si>
  <si>
    <t>Taxable Income
(X-Y)</t>
  </si>
  <si>
    <t>Income Tax Due</t>
  </si>
  <si>
    <t>BPJS Kesehatan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</si>
  <si>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</si>
  <si>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</si>
  <si>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</si>
  <si>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</si>
  <si>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</si>
  <si>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</si>
  <si>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</si>
  <si>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</si>
  <si>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</si>
  <si>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</si>
  <si>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</si>
  <si>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</si>
  <si>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</si>
  <si>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Kariaman</t>
  </si>
  <si>
    <t>M/1</t>
  </si>
  <si>
    <t>Total Basic + Fix Salary
(Rp)</t>
  </si>
  <si>
    <t xml:space="preserve">JHT (2%)
</t>
  </si>
  <si>
    <t xml:space="preserve">Jaminan Pensiun 1%
</t>
  </si>
  <si>
    <t>Calculasi JHT dan Pensiun by Empl</t>
  </si>
  <si>
    <t>Total GROSS SALARY
(Rp)</t>
  </si>
  <si>
    <t>Insurance Premium Paid By Company</t>
  </si>
  <si>
    <t>Based on government regulation must updated every year by APRO or ADMIN if there is change from Government</t>
  </si>
  <si>
    <t>Nomor NPWP</t>
  </si>
  <si>
    <t>RAPEL Overtime</t>
  </si>
  <si>
    <t>Rapel Salary</t>
  </si>
  <si>
    <t>Non Fix Allowances</t>
  </si>
  <si>
    <t>Total Non Fix Allowances
(G + H + I)</t>
  </si>
  <si>
    <t>Total Paid ( JHT &amp; Pensiun ) by Empl</t>
  </si>
  <si>
    <t>Employee ID</t>
  </si>
  <si>
    <t>Area</t>
  </si>
  <si>
    <t>EMPLOYEE - HEAD OFFICE JAKARTA</t>
  </si>
  <si>
    <t>Employee Area</t>
  </si>
  <si>
    <t>Office Area</t>
  </si>
  <si>
    <t>Estate Code</t>
  </si>
  <si>
    <t>Division Code</t>
  </si>
  <si>
    <t>Emp ID</t>
  </si>
  <si>
    <t>Full Name</t>
  </si>
  <si>
    <t>Join Date</t>
  </si>
  <si>
    <t>Head Office</t>
  </si>
  <si>
    <t>HO</t>
  </si>
  <si>
    <t>HO11</t>
  </si>
  <si>
    <t>22043051</t>
  </si>
  <si>
    <t>-</t>
  </si>
  <si>
    <t>HO27</t>
  </si>
  <si>
    <t>21051655</t>
  </si>
  <si>
    <t>Riistika Asti</t>
  </si>
  <si>
    <t>A1</t>
  </si>
  <si>
    <t>HO15</t>
  </si>
  <si>
    <t>22063185</t>
  </si>
  <si>
    <t>Muhammad Badiul Ulum</t>
  </si>
  <si>
    <t>22083248</t>
  </si>
  <si>
    <t>Nauval Miraz Kusumah</t>
  </si>
  <si>
    <t>22103249</t>
  </si>
  <si>
    <t>Aldwin Teguh</t>
  </si>
  <si>
    <t>HO10</t>
  </si>
  <si>
    <t>22043035</t>
  </si>
  <si>
    <t>Saut Hamonagan Purba</t>
  </si>
  <si>
    <t>A2</t>
  </si>
  <si>
    <t>11010017</t>
  </si>
  <si>
    <t>Dina Komariah</t>
  </si>
  <si>
    <t>A6</t>
  </si>
  <si>
    <t>11110033</t>
  </si>
  <si>
    <t>Febria Heidina</t>
  </si>
  <si>
    <t>14030207</t>
  </si>
  <si>
    <t>Gusti Arief Rochmansyah</t>
  </si>
  <si>
    <t>HO26</t>
  </si>
  <si>
    <t>15080369</t>
  </si>
  <si>
    <t>Ariny Barroswatti</t>
  </si>
  <si>
    <t>22073244</t>
  </si>
  <si>
    <t>Sopian Saputra</t>
  </si>
  <si>
    <t>HO21</t>
  </si>
  <si>
    <t>22103250</t>
  </si>
  <si>
    <t>Faly Eka Putra</t>
  </si>
  <si>
    <t>07080012</t>
  </si>
  <si>
    <t>Ristiyani</t>
  </si>
  <si>
    <t>A7</t>
  </si>
  <si>
    <t>17110623</t>
  </si>
  <si>
    <t>Suwati Anggraeni</t>
  </si>
  <si>
    <t>21112123</t>
  </si>
  <si>
    <t>Crispin Utomo</t>
  </si>
  <si>
    <t>DM4</t>
  </si>
  <si>
    <t>08060013</t>
  </si>
  <si>
    <t>Edison Panjaitan</t>
  </si>
  <si>
    <t>DM7</t>
  </si>
  <si>
    <t>15010325</t>
  </si>
  <si>
    <t>Jonathan Darma Putra</t>
  </si>
  <si>
    <t>DM5</t>
  </si>
  <si>
    <t>10120015</t>
  </si>
  <si>
    <t>R. GK. Handari,SH</t>
  </si>
  <si>
    <t>GM3</t>
  </si>
  <si>
    <t>11010018</t>
  </si>
  <si>
    <t>Kartika Dewi</t>
  </si>
  <si>
    <t>M1</t>
  </si>
  <si>
    <t>11070024</t>
  </si>
  <si>
    <t>Angga Yudha Prasetya</t>
  </si>
  <si>
    <t>22033022</t>
  </si>
  <si>
    <t>Mohammad Hidayat</t>
  </si>
  <si>
    <t>11060021</t>
  </si>
  <si>
    <t>Purnama Sari Septa Wijaya</t>
  </si>
  <si>
    <t>M2</t>
  </si>
  <si>
    <t>15050358</t>
  </si>
  <si>
    <t>Mahaindra Kusuma</t>
  </si>
  <si>
    <t>18090688</t>
  </si>
  <si>
    <t>Bernard Irawan Sembiring</t>
  </si>
  <si>
    <t>M5</t>
  </si>
  <si>
    <t>11110034</t>
  </si>
  <si>
    <t>Eddi Tristanto</t>
  </si>
  <si>
    <t>M6</t>
  </si>
  <si>
    <t>14070268</t>
  </si>
  <si>
    <t>Zaenul Arifin</t>
  </si>
  <si>
    <t>M7</t>
  </si>
  <si>
    <t>06120011</t>
  </si>
  <si>
    <t>Wawan Robianto</t>
  </si>
  <si>
    <t>N10</t>
  </si>
  <si>
    <t>08070014</t>
  </si>
  <si>
    <t>Sutrisno</t>
  </si>
  <si>
    <t>11010016</t>
  </si>
  <si>
    <t>Waliyo</t>
  </si>
  <si>
    <t>11100026</t>
  </si>
  <si>
    <t>M. Subhan</t>
  </si>
  <si>
    <t>19090749</t>
  </si>
  <si>
    <t>Agustian</t>
  </si>
  <si>
    <t>22053116</t>
  </si>
  <si>
    <t>Syamsul Paujan</t>
  </si>
  <si>
    <t>21112122</t>
  </si>
  <si>
    <t>Cindhitya Maharani Fachresty</t>
  </si>
  <si>
    <t>S1</t>
  </si>
  <si>
    <t>22073247</t>
  </si>
  <si>
    <t>Lukas Yoga Wantoro Aji</t>
  </si>
  <si>
    <t>S2</t>
  </si>
  <si>
    <t>22103251</t>
  </si>
  <si>
    <t>Munthohir</t>
  </si>
  <si>
    <t>S3</t>
  </si>
  <si>
    <t>20111238</t>
  </si>
  <si>
    <t>Tomy Hermansyah</t>
  </si>
  <si>
    <t>S4</t>
  </si>
  <si>
    <t>19010711</t>
  </si>
  <si>
    <t>Inggi Elsa Astria</t>
  </si>
  <si>
    <t>S5</t>
  </si>
  <si>
    <t>20091101</t>
  </si>
  <si>
    <t>Bangkit Ever May NAS</t>
  </si>
  <si>
    <t>17070574</t>
  </si>
  <si>
    <t>Randy Ageng Galih MP</t>
  </si>
  <si>
    <t>S6</t>
  </si>
  <si>
    <t>16060431</t>
  </si>
  <si>
    <t>Risdawati</t>
  </si>
  <si>
    <t>S7</t>
  </si>
  <si>
    <t>LOGO : PT Bio Inti Agrindo</t>
  </si>
  <si>
    <r>
      <t xml:space="preserve">            Pacific Century Place Buiding 17</t>
    </r>
    <r>
      <rPr>
        <vertAlign val="superscript"/>
        <sz val="10"/>
        <color theme="1"/>
        <rFont val="Tahoma"/>
        <family val="2"/>
      </rPr>
      <t>th</t>
    </r>
    <r>
      <rPr>
        <sz val="10"/>
        <color theme="1"/>
        <rFont val="Tahoma"/>
        <family val="2"/>
      </rPr>
      <t xml:space="preserve"> Floor - SCBD Lot 10</t>
    </r>
  </si>
  <si>
    <t xml:space="preserve">            Jalan Jenderal Sudirman Kav. 52-53, Kebayoran Baru</t>
  </si>
  <si>
    <t xml:space="preserve">            Jakarta Selatan, 12190</t>
  </si>
  <si>
    <t>Pay Slip</t>
  </si>
  <si>
    <t>TOTAL DEDUCTION</t>
  </si>
  <si>
    <t>EMPLOYEE - INCOME</t>
  </si>
  <si>
    <t>EMPLOYEE - DEDCUTION</t>
  </si>
  <si>
    <t>BPJS JAMINAN HARI TUA - 2%</t>
  </si>
  <si>
    <t>BPJS PENSION - 1%</t>
  </si>
  <si>
    <t>BPJS HEALTH - 1%</t>
  </si>
  <si>
    <t>Month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</si>
</sst>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64" formatCode="mm/dd/yy;@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_-&quot;₩&quot;* #,##0_-;\-&quot;₩&quot;* #,##0_-;_-&quot;₩&quot;* &quot;-&quot;_-;_-@_-"/>
    <numFmt numFmtId="169" formatCode="_-[$Rp-421]* #,##0_ ;_-[$Rp-421]* \-#,##0\ ;_-[$Rp-421]* &quot;-&quot;_ ;_-@_ "/>
    <numFmt numFmtId="170" formatCode="_(* #,##0_);_(* \(#,##0\);_(* &quot;-&quot;_);_(@_)"/>
    <numFmt numFmtId="171" formatCode="_-* #,##0_-;\-* #,##0_-;_-* &quot;-&quot;??_-;_-@_-"/>
    <numFmt numFmtId="172" formatCode="[$-10409]dd/mm/yyyy"/>
  </numFmts>
  <fonts count="3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</font>
    <font>
      <sz val="18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0"/>
      <color theme="1"/>
      <name val="Tahoma"/>
      <family val="2"/>
    </font>
    <font>
      <vertAlign val="superscript"/>
      <sz val="10"/>
      <color theme="1"/>
      <name val="Tahoma"/>
      <family val="2"/>
    </font>
    <font>
      <sz val="10"/>
      <color theme="1"/>
      <name val="Times New Roman"/>
      <family val="1"/>
    </font>
    <font>
      <b/>
      <u/>
      <sz val="18"/>
      <color rgb="FF000000"/>
      <name val="Garamond"/>
      <family val="1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6"/>
      <color theme="1"/>
      <name val="Times New Roman"/>
      <family val="1"/>
    </font>
    <font>
      <sz val="14"/>
      <color theme="1"/>
      <name val="Cambria"/>
      <family val="1"/>
      <scheme val="major"/>
    </font>
    <font>
      <b/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6" fillId="0" borderId="0"/>
    <xf numFmtId="165" fontId="16" fillId="0" borderId="0" applyFont="0" applyFill="0" applyBorder="0" applyAlignment="0" applyProtection="0"/>
    <xf numFmtId="0" fontId="18" fillId="0" borderId="0"/>
    <xf numFmtId="170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6" fontId="2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7" fontId="2" fillId="0" borderId="0" xfId="0" quotePrefix="1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vertical="center"/>
    </xf>
    <xf numFmtId="166" fontId="2" fillId="0" borderId="0" xfId="0" applyNumberFormat="1" applyFont="1" applyBorder="1" applyAlignment="1">
      <alignment vertical="center"/>
    </xf>
    <xf numFmtId="166" fontId="2" fillId="0" borderId="0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164" fontId="3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0" xfId="0" applyFont="1" applyFill="1"/>
    <xf numFmtId="41" fontId="6" fillId="0" borderId="0" xfId="2" applyFont="1" applyFill="1"/>
    <xf numFmtId="0" fontId="7" fillId="0" borderId="0" xfId="2" applyNumberFormat="1" applyFont="1" applyFill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2" applyNumberFormat="1" applyFont="1" applyFill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0" xfId="0" applyFont="1" applyFill="1" applyAlignment="1"/>
    <xf numFmtId="169" fontId="6" fillId="3" borderId="1" xfId="0" applyNumberFormat="1" applyFont="1" applyFill="1" applyBorder="1" applyAlignment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1" fontId="7" fillId="0" borderId="0" xfId="2" applyFont="1" applyFill="1" applyBorder="1" applyAlignment="1">
      <alignment horizontal="center" vertical="center" wrapText="1"/>
    </xf>
    <xf numFmtId="169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3" borderId="22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/>
    <xf numFmtId="168" fontId="13" fillId="4" borderId="26" xfId="0" applyNumberFormat="1" applyFont="1" applyFill="1" applyBorder="1" applyAlignment="1">
      <alignment horizontal="center" vertical="center" wrapText="1"/>
    </xf>
    <xf numFmtId="168" fontId="13" fillId="4" borderId="2" xfId="0" applyNumberFormat="1" applyFont="1" applyFill="1" applyBorder="1" applyAlignment="1">
      <alignment horizontal="center" vertical="center" wrapText="1"/>
    </xf>
    <xf numFmtId="0" fontId="6" fillId="3" borderId="31" xfId="0" applyFont="1" applyFill="1" applyBorder="1" applyAlignment="1"/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 vertical="center"/>
    </xf>
    <xf numFmtId="41" fontId="15" fillId="4" borderId="25" xfId="2" applyFont="1" applyFill="1" applyBorder="1" applyAlignment="1">
      <alignment horizontal="center" vertical="center"/>
    </xf>
    <xf numFmtId="168" fontId="15" fillId="4" borderId="25" xfId="0" applyNumberFormat="1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wrapText="1"/>
    </xf>
    <xf numFmtId="0" fontId="11" fillId="4" borderId="25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0" fontId="11" fillId="4" borderId="25" xfId="0" applyNumberFormat="1" applyFont="1" applyFill="1" applyBorder="1" applyAlignment="1">
      <alignment horizontal="center" vertical="center"/>
    </xf>
    <xf numFmtId="9" fontId="11" fillId="4" borderId="25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/>
    </xf>
    <xf numFmtId="0" fontId="0" fillId="2" borderId="25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17" fillId="0" borderId="0" xfId="4" applyFont="1" applyFill="1" applyProtection="1">
      <protection hidden="1"/>
    </xf>
    <xf numFmtId="0" fontId="16" fillId="0" borderId="0" xfId="4" applyFont="1" applyFill="1" applyProtection="1">
      <protection hidden="1"/>
    </xf>
    <xf numFmtId="166" fontId="16" fillId="0" borderId="0" xfId="5" quotePrefix="1" applyNumberFormat="1" applyFont="1" applyFill="1" applyProtection="1">
      <protection hidden="1"/>
    </xf>
    <xf numFmtId="166" fontId="16" fillId="0" borderId="0" xfId="5" applyNumberFormat="1" applyFont="1" applyFill="1" applyProtection="1">
      <protection hidden="1"/>
    </xf>
    <xf numFmtId="166" fontId="16" fillId="0" borderId="0" xfId="5" applyNumberFormat="1" applyFont="1" applyFill="1" applyAlignment="1" applyProtection="1">
      <alignment horizontal="center"/>
      <protection hidden="1"/>
    </xf>
    <xf numFmtId="166" fontId="16" fillId="0" borderId="0" xfId="5" quotePrefix="1" applyNumberFormat="1" applyFont="1" applyFill="1" applyAlignment="1" applyProtection="1">
      <alignment horizontal="center"/>
      <protection hidden="1"/>
    </xf>
    <xf numFmtId="0" fontId="17" fillId="0" borderId="25" xfId="4" applyFont="1" applyFill="1" applyBorder="1"/>
    <xf numFmtId="0" fontId="16" fillId="0" borderId="1" xfId="4" applyFont="1" applyFill="1" applyBorder="1" applyProtection="1">
      <protection hidden="1"/>
    </xf>
    <xf numFmtId="166" fontId="17" fillId="0" borderId="0" xfId="5" applyNumberFormat="1" applyFont="1" applyFill="1" applyBorder="1" applyProtection="1">
      <protection hidden="1"/>
    </xf>
    <xf numFmtId="166" fontId="17" fillId="0" borderId="3" xfId="5" applyNumberFormat="1" applyFont="1" applyFill="1" applyBorder="1" applyProtection="1">
      <protection hidden="1"/>
    </xf>
    <xf numFmtId="0" fontId="17" fillId="0" borderId="34" xfId="4" applyFont="1" applyFill="1" applyBorder="1" applyAlignment="1" applyProtection="1">
      <alignment horizontal="center" vertical="center"/>
      <protection hidden="1"/>
    </xf>
    <xf numFmtId="166" fontId="17" fillId="0" borderId="19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19" xfId="4" applyFont="1" applyFill="1" applyBorder="1" applyAlignment="1" applyProtection="1">
      <alignment horizontal="center" vertical="center" wrapText="1"/>
      <protection hidden="1"/>
    </xf>
    <xf numFmtId="166" fontId="16" fillId="0" borderId="37" xfId="5" applyNumberFormat="1" applyFont="1" applyFill="1" applyBorder="1" applyProtection="1">
      <protection hidden="1"/>
    </xf>
    <xf numFmtId="166" fontId="16" fillId="0" borderId="0" xfId="5" applyNumberFormat="1" applyFont="1" applyFill="1" applyBorder="1" applyProtection="1">
      <protection hidden="1"/>
    </xf>
    <xf numFmtId="166" fontId="16" fillId="0" borderId="38" xfId="5" applyNumberFormat="1" applyFont="1" applyFill="1" applyBorder="1" applyProtection="1">
      <protection hidden="1"/>
    </xf>
    <xf numFmtId="0" fontId="16" fillId="0" borderId="37" xfId="4" applyFont="1" applyFill="1" applyBorder="1" applyProtection="1">
      <protection hidden="1"/>
    </xf>
    <xf numFmtId="0" fontId="16" fillId="0" borderId="38" xfId="4" applyFont="1" applyFill="1" applyBorder="1" applyProtection="1">
      <protection hidden="1"/>
    </xf>
    <xf numFmtId="0" fontId="17" fillId="0" borderId="1" xfId="4" applyFont="1" applyFill="1" applyBorder="1" applyProtection="1">
      <protection hidden="1"/>
    </xf>
    <xf numFmtId="170" fontId="16" fillId="0" borderId="37" xfId="6" applyNumberFormat="1" applyFont="1" applyFill="1" applyBorder="1"/>
    <xf numFmtId="166" fontId="16" fillId="0" borderId="38" xfId="4" applyNumberFormat="1" applyFont="1" applyFill="1" applyBorder="1" applyProtection="1">
      <protection hidden="1"/>
    </xf>
    <xf numFmtId="166" fontId="16" fillId="0" borderId="37" xfId="4" applyNumberFormat="1" applyFont="1" applyFill="1" applyBorder="1" applyProtection="1">
      <protection hidden="1"/>
    </xf>
    <xf numFmtId="166" fontId="19" fillId="0" borderId="37" xfId="4" applyNumberFormat="1" applyFont="1" applyFill="1" applyBorder="1" applyAlignment="1" applyProtection="1">
      <protection hidden="1"/>
    </xf>
    <xf numFmtId="166" fontId="16" fillId="0" borderId="0" xfId="4" applyNumberFormat="1" applyFont="1" applyFill="1" applyProtection="1">
      <protection hidden="1"/>
    </xf>
    <xf numFmtId="170" fontId="16" fillId="0" borderId="0" xfId="7" applyFont="1" applyFill="1" applyProtection="1">
      <protection hidden="1"/>
    </xf>
    <xf numFmtId="0" fontId="17" fillId="0" borderId="2" xfId="4" applyFont="1" applyFill="1" applyBorder="1" applyProtection="1">
      <protection hidden="1"/>
    </xf>
    <xf numFmtId="0" fontId="17" fillId="2" borderId="31" xfId="4" applyFont="1" applyFill="1" applyBorder="1" applyProtection="1">
      <protection hidden="1"/>
    </xf>
    <xf numFmtId="166" fontId="17" fillId="2" borderId="24" xfId="5" applyNumberFormat="1" applyFont="1" applyFill="1" applyBorder="1" applyProtection="1">
      <protection hidden="1"/>
    </xf>
    <xf numFmtId="166" fontId="17" fillId="2" borderId="27" xfId="5" applyNumberFormat="1" applyFont="1" applyFill="1" applyBorder="1" applyProtection="1">
      <protection hidden="1"/>
    </xf>
    <xf numFmtId="166" fontId="17" fillId="2" borderId="24" xfId="4" applyNumberFormat="1" applyFont="1" applyFill="1" applyBorder="1" applyProtection="1">
      <protection hidden="1"/>
    </xf>
    <xf numFmtId="166" fontId="17" fillId="2" borderId="31" xfId="4" applyNumberFormat="1" applyFont="1" applyFill="1" applyBorder="1" applyProtection="1">
      <protection hidden="1"/>
    </xf>
    <xf numFmtId="0" fontId="16" fillId="2" borderId="24" xfId="4" applyFont="1" applyFill="1" applyBorder="1" applyProtection="1">
      <protection hidden="1"/>
    </xf>
    <xf numFmtId="0" fontId="16" fillId="0" borderId="2" xfId="4" applyFont="1" applyFill="1" applyBorder="1" applyProtection="1">
      <protection hidden="1"/>
    </xf>
    <xf numFmtId="166" fontId="16" fillId="0" borderId="4" xfId="5" applyNumberFormat="1" applyFont="1" applyFill="1" applyBorder="1" applyProtection="1">
      <protection hidden="1"/>
    </xf>
    <xf numFmtId="166" fontId="16" fillId="0" borderId="4" xfId="4" applyNumberFormat="1" applyFont="1" applyFill="1" applyBorder="1" applyProtection="1">
      <protection hidden="1"/>
    </xf>
    <xf numFmtId="0" fontId="16" fillId="0" borderId="4" xfId="4" applyFont="1" applyFill="1" applyBorder="1" applyProtection="1">
      <protection hidden="1"/>
    </xf>
    <xf numFmtId="0" fontId="16" fillId="0" borderId="19" xfId="4" applyFont="1" applyFill="1" applyBorder="1" applyProtection="1">
      <protection hidden="1"/>
    </xf>
    <xf numFmtId="3" fontId="16" fillId="0" borderId="0" xfId="4" applyNumberFormat="1" applyFont="1" applyFill="1" applyProtection="1">
      <protection hidden="1"/>
    </xf>
    <xf numFmtId="171" fontId="16" fillId="0" borderId="0" xfId="1" applyNumberFormat="1" applyFont="1" applyFill="1" applyProtection="1">
      <protection hidden="1"/>
    </xf>
    <xf numFmtId="166" fontId="16" fillId="0" borderId="38" xfId="5" quotePrefix="1" applyNumberFormat="1" applyFont="1" applyFill="1" applyBorder="1" applyProtection="1">
      <protection hidden="1"/>
    </xf>
    <xf numFmtId="166" fontId="17" fillId="6" borderId="40" xfId="5" applyNumberFormat="1" applyFont="1" applyFill="1" applyBorder="1" applyAlignment="1" applyProtection="1">
      <alignment horizontal="center" vertical="center" wrapText="1"/>
      <protection hidden="1"/>
    </xf>
    <xf numFmtId="166" fontId="17" fillId="6" borderId="19" xfId="5" applyNumberFormat="1" applyFont="1" applyFill="1" applyBorder="1" applyAlignment="1" applyProtection="1">
      <alignment horizontal="center" vertical="center" wrapText="1"/>
      <protection hidden="1"/>
    </xf>
    <xf numFmtId="166" fontId="17" fillId="5" borderId="25" xfId="5" applyNumberFormat="1" applyFont="1" applyFill="1" applyBorder="1" applyAlignment="1" applyProtection="1">
      <alignment horizontal="center" vertical="center" wrapText="1"/>
      <protection hidden="1"/>
    </xf>
    <xf numFmtId="166" fontId="17" fillId="7" borderId="19" xfId="5" applyNumberFormat="1" applyFont="1" applyFill="1" applyBorder="1" applyAlignment="1" applyProtection="1">
      <alignment horizontal="center" vertical="center" wrapText="1"/>
      <protection hidden="1"/>
    </xf>
    <xf numFmtId="0" fontId="16" fillId="0" borderId="37" xfId="4" applyFont="1" applyFill="1" applyBorder="1" applyAlignment="1" applyProtection="1">
      <alignment horizontal="center"/>
      <protection hidden="1"/>
    </xf>
    <xf numFmtId="15" fontId="16" fillId="0" borderId="1" xfId="4" applyNumberFormat="1" applyFont="1" applyFill="1" applyBorder="1" applyProtection="1">
      <protection hidden="1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168" fontId="13" fillId="4" borderId="16" xfId="0" applyNumberFormat="1" applyFont="1" applyFill="1" applyBorder="1" applyAlignment="1">
      <alignment horizontal="center" vertical="center" wrapText="1"/>
    </xf>
    <xf numFmtId="168" fontId="13" fillId="4" borderId="19" xfId="0" applyNumberFormat="1" applyFont="1" applyFill="1" applyBorder="1" applyAlignment="1">
      <alignment horizontal="center" vertical="center" wrapText="1"/>
    </xf>
    <xf numFmtId="168" fontId="13" fillId="4" borderId="17" xfId="0" applyNumberFormat="1" applyFont="1" applyFill="1" applyBorder="1" applyAlignment="1">
      <alignment horizontal="center" vertical="center" wrapText="1"/>
    </xf>
    <xf numFmtId="168" fontId="13" fillId="4" borderId="20" xfId="0" applyNumberFormat="1" applyFont="1" applyFill="1" applyBorder="1" applyAlignment="1">
      <alignment horizontal="center" vertical="center" wrapText="1"/>
    </xf>
    <xf numFmtId="168" fontId="13" fillId="4" borderId="28" xfId="0" applyNumberFormat="1" applyFont="1" applyFill="1" applyBorder="1" applyAlignment="1">
      <alignment horizontal="center" vertical="center" wrapText="1"/>
    </xf>
    <xf numFmtId="168" fontId="13" fillId="4" borderId="25" xfId="0" applyNumberFormat="1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41" fontId="13" fillId="4" borderId="16" xfId="2" applyFont="1" applyFill="1" applyBorder="1" applyAlignment="1">
      <alignment horizontal="center" vertical="center"/>
    </xf>
    <xf numFmtId="41" fontId="13" fillId="4" borderId="19" xfId="2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166" fontId="17" fillId="0" borderId="34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19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34" xfId="4" applyFont="1" applyFill="1" applyBorder="1" applyAlignment="1" applyProtection="1">
      <alignment horizontal="center" vertical="center"/>
      <protection hidden="1"/>
    </xf>
    <xf numFmtId="0" fontId="17" fillId="0" borderId="19" xfId="4" applyFont="1" applyFill="1" applyBorder="1" applyAlignment="1" applyProtection="1">
      <alignment horizontal="center" vertical="center"/>
      <protection hidden="1"/>
    </xf>
    <xf numFmtId="166" fontId="17" fillId="0" borderId="30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6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5" xfId="5" applyNumberFormat="1" applyFont="1" applyFill="1" applyBorder="1" applyAlignment="1" applyProtection="1">
      <alignment horizontal="center" vertical="center" wrapText="1"/>
      <protection hidden="1"/>
    </xf>
    <xf numFmtId="166" fontId="17" fillId="5" borderId="25" xfId="5" applyNumberFormat="1" applyFont="1" applyFill="1" applyBorder="1" applyAlignment="1" applyProtection="1">
      <alignment horizontal="center"/>
      <protection hidden="1"/>
    </xf>
    <xf numFmtId="166" fontId="17" fillId="5" borderId="34" xfId="5" applyNumberFormat="1" applyFont="1" applyFill="1" applyBorder="1" applyAlignment="1" applyProtection="1">
      <alignment horizontal="center" vertical="center" wrapText="1"/>
      <protection hidden="1"/>
    </xf>
    <xf numFmtId="166" fontId="17" fillId="5" borderId="19" xfId="5" applyNumberFormat="1" applyFont="1" applyFill="1" applyBorder="1" applyAlignment="1" applyProtection="1">
      <alignment horizontal="center" vertical="center" wrapText="1"/>
      <protection hidden="1"/>
    </xf>
    <xf numFmtId="166" fontId="17" fillId="7" borderId="30" xfId="5" applyNumberFormat="1" applyFont="1" applyFill="1" applyBorder="1" applyAlignment="1" applyProtection="1">
      <alignment horizontal="center" wrapText="1"/>
      <protection hidden="1"/>
    </xf>
    <xf numFmtId="166" fontId="17" fillId="7" borderId="35" xfId="5" applyNumberFormat="1" applyFont="1" applyFill="1" applyBorder="1" applyAlignment="1" applyProtection="1">
      <alignment horizontal="center" wrapText="1"/>
      <protection hidden="1"/>
    </xf>
    <xf numFmtId="166" fontId="17" fillId="6" borderId="41" xfId="5" applyNumberFormat="1" applyFont="1" applyFill="1" applyBorder="1" applyAlignment="1" applyProtection="1">
      <alignment horizontal="center" vertical="center" wrapText="1"/>
      <protection hidden="1"/>
    </xf>
    <xf numFmtId="166" fontId="17" fillId="6" borderId="42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9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34" xfId="4" applyFont="1" applyFill="1" applyBorder="1" applyAlignment="1" applyProtection="1">
      <alignment horizontal="center" vertical="center" wrapText="1"/>
      <protection hidden="1"/>
    </xf>
    <xf numFmtId="0" fontId="17" fillId="0" borderId="19" xfId="4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/>
    <xf numFmtId="0" fontId="25" fillId="0" borderId="0" xfId="0" applyNumberFormat="1" applyFont="1" applyFill="1" applyBorder="1" applyAlignment="1">
      <alignment horizontal="center" vertical="top" wrapText="1" readingOrder="1"/>
    </xf>
    <xf numFmtId="0" fontId="26" fillId="0" borderId="43" xfId="0" applyNumberFormat="1" applyFont="1" applyFill="1" applyBorder="1" applyAlignment="1">
      <alignment horizontal="center" vertical="center" wrapText="1" readingOrder="1"/>
    </xf>
    <xf numFmtId="0" fontId="27" fillId="0" borderId="43" xfId="0" applyNumberFormat="1" applyFont="1" applyFill="1" applyBorder="1" applyAlignment="1">
      <alignment vertical="top" wrapText="1" readingOrder="1"/>
    </xf>
    <xf numFmtId="0" fontId="27" fillId="0" borderId="43" xfId="0" applyNumberFormat="1" applyFont="1" applyFill="1" applyBorder="1" applyAlignment="1">
      <alignment horizontal="center" vertical="top" wrapText="1" readingOrder="1"/>
    </xf>
    <xf numFmtId="172" fontId="27" fillId="0" borderId="43" xfId="0" applyNumberFormat="1" applyFont="1" applyFill="1" applyBorder="1" applyAlignment="1">
      <alignment horizontal="center" vertical="top" wrapText="1" readingOrder="1"/>
    </xf>
    <xf numFmtId="0" fontId="27" fillId="2" borderId="43" xfId="0" applyNumberFormat="1" applyFont="1" applyFill="1" applyBorder="1" applyAlignment="1">
      <alignment horizontal="center" vertical="top" wrapText="1" readingOrder="1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14" fillId="4" borderId="3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41" fontId="6" fillId="3" borderId="22" xfId="2" applyFont="1" applyFill="1" applyBorder="1" applyAlignment="1">
      <alignment horizontal="center"/>
    </xf>
    <xf numFmtId="0" fontId="30" fillId="0" borderId="44" xfId="0" applyFont="1" applyFill="1" applyBorder="1" applyAlignment="1">
      <alignment horizontal="center" vertical="center" wrapText="1"/>
    </xf>
    <xf numFmtId="0" fontId="30" fillId="0" borderId="44" xfId="0" applyFont="1" applyFill="1" applyBorder="1" applyAlignment="1">
      <alignment vertical="center" wrapText="1"/>
    </xf>
    <xf numFmtId="41" fontId="6" fillId="3" borderId="45" xfId="2" applyFont="1" applyFill="1" applyBorder="1" applyAlignment="1">
      <alignment horizontal="center"/>
    </xf>
    <xf numFmtId="0" fontId="6" fillId="3" borderId="46" xfId="0" applyFont="1" applyFill="1" applyBorder="1" applyAlignment="1">
      <alignment horizontal="center"/>
    </xf>
  </cellXfs>
  <cellStyles count="8">
    <cellStyle name="Comma" xfId="1" builtinId="3"/>
    <cellStyle name="Comma [0]" xfId="2" builtinId="6"/>
    <cellStyle name="Comma [0] 10 2 2" xfId="7"/>
    <cellStyle name="Comma 2" xfId="5"/>
    <cellStyle name="Normal" xfId="0" builtinId="0"/>
    <cellStyle name="Normal 2" xfId="4"/>
    <cellStyle name="Normal 3 3 4" xfId="3"/>
    <cellStyle name="Normal_aug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showGridLines="0" workbookViewId="0">
      <selection activeCell="G4" sqref="G4"/>
    </sheetView>
  </sheetViews>
  <sheetFormatPr defaultRowHeight="14.5" x14ac:dyDescent="0.35"/>
  <cols>
    <col min="1" max="1" width="2.6328125" customWidth="1"/>
    <col min="2" max="2" width="22.08984375" customWidth="1"/>
    <col min="3" max="3" width="4.26953125" customWidth="1"/>
    <col min="4" max="4" width="13.7265625" customWidth="1"/>
    <col min="5" max="5" width="9.7265625" customWidth="1"/>
    <col min="6" max="6" width="4.453125" customWidth="1"/>
    <col min="7" max="7" width="22.81640625" customWidth="1"/>
    <col min="8" max="8" width="5" customWidth="1"/>
    <col min="9" max="9" width="8.08984375" customWidth="1"/>
    <col min="10" max="10" width="16" customWidth="1"/>
    <col min="11" max="11" width="4.08984375" customWidth="1"/>
  </cols>
  <sheetData>
    <row r="2" spans="2:11" ht="15" thickBot="1" x14ac:dyDescent="0.4"/>
    <row r="3" spans="2:11" ht="15.5" customHeight="1" x14ac:dyDescent="0.35">
      <c r="B3" s="116"/>
      <c r="C3" s="117"/>
      <c r="D3" s="117"/>
      <c r="E3" s="117"/>
      <c r="F3" s="117"/>
      <c r="G3" s="117"/>
      <c r="H3" s="117"/>
      <c r="I3" s="117"/>
      <c r="J3" s="117"/>
      <c r="K3" s="118"/>
    </row>
    <row r="4" spans="2:11" ht="15.5" customHeight="1" x14ac:dyDescent="0.35">
      <c r="B4" s="114" t="s">
        <v>252</v>
      </c>
      <c r="C4" s="111"/>
      <c r="D4" s="111"/>
      <c r="E4" s="111"/>
      <c r="F4" s="111"/>
      <c r="G4" s="111"/>
      <c r="H4" s="111"/>
      <c r="I4" s="20"/>
      <c r="J4" s="113"/>
      <c r="K4" s="112"/>
    </row>
    <row r="5" spans="2:11" ht="15.5" customHeight="1" x14ac:dyDescent="0.35">
      <c r="B5" s="115" t="s">
        <v>253</v>
      </c>
      <c r="C5" s="111"/>
      <c r="D5" s="111"/>
      <c r="E5" s="111"/>
      <c r="F5" s="111"/>
      <c r="G5" s="111"/>
      <c r="I5" s="173"/>
      <c r="K5" s="112"/>
    </row>
    <row r="6" spans="2:11" ht="15.5" customHeight="1" x14ac:dyDescent="0.35">
      <c r="B6" s="115" t="s">
        <v>254</v>
      </c>
      <c r="C6" s="111"/>
      <c r="D6" s="111"/>
      <c r="E6" s="111"/>
      <c r="F6" s="111"/>
      <c r="G6" s="111"/>
      <c r="H6" s="111"/>
      <c r="I6" s="111"/>
      <c r="J6" s="111"/>
      <c r="K6" s="112"/>
    </row>
    <row r="7" spans="2:11" ht="17.5" x14ac:dyDescent="0.35">
      <c r="B7" s="115" t="s">
        <v>255</v>
      </c>
      <c r="C7" s="1"/>
      <c r="D7" s="1"/>
      <c r="E7" s="1"/>
      <c r="F7" s="7"/>
      <c r="G7" s="10"/>
      <c r="H7" s="174" t="s">
        <v>256</v>
      </c>
      <c r="I7" s="175"/>
      <c r="J7" s="175"/>
      <c r="K7" s="14"/>
    </row>
    <row r="8" spans="2:11" ht="15.5" x14ac:dyDescent="0.35">
      <c r="B8" s="15"/>
      <c r="C8" s="1"/>
      <c r="D8" s="1"/>
      <c r="E8" s="1"/>
      <c r="F8" s="7"/>
      <c r="G8" s="10"/>
      <c r="H8" s="1"/>
      <c r="I8" s="1"/>
      <c r="J8" s="1"/>
      <c r="K8" s="14"/>
    </row>
    <row r="9" spans="2:11" ht="15.5" x14ac:dyDescent="0.35">
      <c r="B9" s="15" t="s">
        <v>134</v>
      </c>
      <c r="C9" s="8" t="s">
        <v>0</v>
      </c>
      <c r="D9" s="1" t="s">
        <v>2</v>
      </c>
      <c r="E9" s="1"/>
      <c r="F9" s="1"/>
      <c r="G9" s="113"/>
      <c r="H9" s="1" t="s">
        <v>77</v>
      </c>
      <c r="I9" s="1"/>
      <c r="J9" s="11" t="s">
        <v>0</v>
      </c>
      <c r="K9" s="14"/>
    </row>
    <row r="10" spans="2:11" ht="15.5" x14ac:dyDescent="0.35">
      <c r="B10" s="15" t="s">
        <v>133</v>
      </c>
      <c r="C10" s="8" t="s">
        <v>0</v>
      </c>
      <c r="D10" s="11" t="s">
        <v>8</v>
      </c>
      <c r="E10" s="1"/>
      <c r="F10" s="1"/>
      <c r="G10" s="1"/>
      <c r="H10" s="1" t="s">
        <v>9</v>
      </c>
      <c r="I10" s="1"/>
      <c r="J10" s="11" t="s">
        <v>0</v>
      </c>
      <c r="K10" s="14"/>
    </row>
    <row r="11" spans="2:11" ht="15.5" x14ac:dyDescent="0.35">
      <c r="B11" s="16" t="s">
        <v>4</v>
      </c>
      <c r="C11" s="8" t="s">
        <v>0</v>
      </c>
      <c r="D11" s="1" t="s">
        <v>2</v>
      </c>
      <c r="E11" s="1"/>
      <c r="F11" s="1"/>
      <c r="G11" s="1"/>
      <c r="H11" s="1" t="s">
        <v>27</v>
      </c>
      <c r="I11" s="1"/>
      <c r="J11" s="11" t="s">
        <v>0</v>
      </c>
      <c r="K11" s="14"/>
    </row>
    <row r="12" spans="2:11" ht="15.5" x14ac:dyDescent="0.35">
      <c r="B12" s="16" t="s">
        <v>5</v>
      </c>
      <c r="C12" s="8" t="s">
        <v>0</v>
      </c>
      <c r="D12" s="1" t="s">
        <v>2</v>
      </c>
      <c r="E12" s="1"/>
      <c r="F12" s="1"/>
      <c r="G12" s="1"/>
      <c r="H12" s="1" t="s">
        <v>27</v>
      </c>
      <c r="I12" s="1"/>
      <c r="J12" s="11" t="s">
        <v>0</v>
      </c>
      <c r="K12" s="14"/>
    </row>
    <row r="13" spans="2:11" ht="15.5" x14ac:dyDescent="0.35">
      <c r="B13" s="16" t="s">
        <v>6</v>
      </c>
      <c r="C13" s="8" t="s">
        <v>0</v>
      </c>
      <c r="D13" s="1" t="s">
        <v>2</v>
      </c>
      <c r="E13" s="1"/>
      <c r="F13" s="1"/>
      <c r="G13" s="1"/>
      <c r="H13" s="1"/>
      <c r="I13" s="1"/>
      <c r="J13" s="1"/>
      <c r="K13" s="14"/>
    </row>
    <row r="14" spans="2:11" ht="15.5" x14ac:dyDescent="0.35">
      <c r="B14" s="17" t="s">
        <v>7</v>
      </c>
      <c r="C14" s="9" t="s">
        <v>0</v>
      </c>
      <c r="D14" s="2" t="s">
        <v>2</v>
      </c>
      <c r="E14" s="2"/>
      <c r="F14" s="2"/>
      <c r="G14" s="2"/>
      <c r="H14" s="2"/>
      <c r="I14" s="2"/>
      <c r="J14" s="2"/>
      <c r="K14" s="18"/>
    </row>
    <row r="15" spans="2:11" ht="15.5" x14ac:dyDescent="0.35">
      <c r="B15" s="16"/>
      <c r="C15" s="8"/>
      <c r="D15" s="1"/>
      <c r="E15" s="1"/>
      <c r="F15" s="1"/>
      <c r="G15" s="1"/>
      <c r="H15" s="1"/>
      <c r="I15" s="1"/>
      <c r="J15" s="1"/>
      <c r="K15" s="14"/>
    </row>
    <row r="16" spans="2:11" ht="15.5" x14ac:dyDescent="0.35">
      <c r="B16" s="19" t="s">
        <v>31</v>
      </c>
      <c r="C16" s="8"/>
      <c r="D16" s="8"/>
      <c r="E16" s="1"/>
      <c r="F16" s="1"/>
      <c r="G16" s="3" t="s">
        <v>32</v>
      </c>
      <c r="H16" s="1"/>
      <c r="I16" s="8"/>
      <c r="J16" s="1"/>
      <c r="K16" s="14"/>
    </row>
    <row r="17" spans="1:11" ht="15.5" x14ac:dyDescent="0.35">
      <c r="B17" s="16" t="s">
        <v>10</v>
      </c>
      <c r="C17" s="8" t="s">
        <v>0</v>
      </c>
      <c r="D17" s="13" t="s">
        <v>29</v>
      </c>
      <c r="E17" s="4"/>
      <c r="F17" s="1"/>
      <c r="G17" s="1" t="s">
        <v>24</v>
      </c>
      <c r="H17" s="1" t="s">
        <v>0</v>
      </c>
      <c r="J17" s="5" t="s">
        <v>30</v>
      </c>
      <c r="K17" s="14"/>
    </row>
    <row r="18" spans="1:11" ht="15.5" x14ac:dyDescent="0.35">
      <c r="B18" s="16" t="s">
        <v>11</v>
      </c>
      <c r="C18" s="8" t="s">
        <v>0</v>
      </c>
      <c r="D18" s="13" t="s">
        <v>29</v>
      </c>
      <c r="E18" s="4"/>
      <c r="F18" s="1"/>
      <c r="G18" s="1" t="s">
        <v>23</v>
      </c>
      <c r="H18" s="1" t="s">
        <v>0</v>
      </c>
      <c r="J18" s="5" t="s">
        <v>30</v>
      </c>
      <c r="K18" s="14"/>
    </row>
    <row r="19" spans="1:11" ht="15.5" x14ac:dyDescent="0.35">
      <c r="B19" s="16" t="s">
        <v>12</v>
      </c>
      <c r="C19" s="8" t="s">
        <v>0</v>
      </c>
      <c r="D19" s="13" t="s">
        <v>29</v>
      </c>
      <c r="E19" s="4"/>
      <c r="F19" s="1"/>
      <c r="G19" s="1" t="s">
        <v>22</v>
      </c>
      <c r="H19" s="1" t="s">
        <v>0</v>
      </c>
      <c r="J19" s="5" t="s">
        <v>30</v>
      </c>
      <c r="K19" s="14"/>
    </row>
    <row r="20" spans="1:11" ht="15.5" x14ac:dyDescent="0.35">
      <c r="B20" s="16" t="s">
        <v>13</v>
      </c>
      <c r="C20" s="8" t="s">
        <v>0</v>
      </c>
      <c r="D20" s="13" t="s">
        <v>29</v>
      </c>
      <c r="E20" s="4"/>
      <c r="F20" s="1"/>
      <c r="G20" s="1" t="s">
        <v>21</v>
      </c>
      <c r="H20" s="1" t="s">
        <v>0</v>
      </c>
      <c r="J20" s="5" t="s">
        <v>30</v>
      </c>
      <c r="K20" s="14"/>
    </row>
    <row r="21" spans="1:11" ht="15.5" x14ac:dyDescent="0.35">
      <c r="B21" s="16" t="s">
        <v>14</v>
      </c>
      <c r="C21" s="8" t="s">
        <v>0</v>
      </c>
      <c r="D21" s="13" t="s">
        <v>29</v>
      </c>
      <c r="E21" s="4"/>
      <c r="F21" s="1"/>
      <c r="G21" s="1" t="s">
        <v>20</v>
      </c>
      <c r="H21" s="1" t="s">
        <v>0</v>
      </c>
      <c r="J21" s="5" t="s">
        <v>30</v>
      </c>
      <c r="K21" s="14"/>
    </row>
    <row r="22" spans="1:11" ht="15.5" x14ac:dyDescent="0.35">
      <c r="B22" s="16" t="s">
        <v>15</v>
      </c>
      <c r="C22" s="8" t="s">
        <v>0</v>
      </c>
      <c r="D22" s="13" t="s">
        <v>29</v>
      </c>
      <c r="E22" s="4"/>
      <c r="F22" s="1"/>
      <c r="G22" s="1" t="s">
        <v>19</v>
      </c>
      <c r="H22" s="1" t="s">
        <v>0</v>
      </c>
      <c r="J22" s="5" t="s">
        <v>30</v>
      </c>
      <c r="K22" s="14"/>
    </row>
    <row r="23" spans="1:11" ht="15.5" x14ac:dyDescent="0.35">
      <c r="B23" s="16" t="s">
        <v>17</v>
      </c>
      <c r="C23" s="8" t="s">
        <v>0</v>
      </c>
      <c r="D23" s="13" t="s">
        <v>29</v>
      </c>
      <c r="E23" s="4"/>
      <c r="F23" s="1"/>
      <c r="G23" s="1" t="s">
        <v>18</v>
      </c>
      <c r="H23" s="1" t="s">
        <v>0</v>
      </c>
      <c r="J23" s="5" t="s">
        <v>30</v>
      </c>
      <c r="K23" s="14"/>
    </row>
    <row r="24" spans="1:11" ht="15.5" x14ac:dyDescent="0.35">
      <c r="B24" s="16" t="s">
        <v>16</v>
      </c>
      <c r="C24" s="8" t="s">
        <v>0</v>
      </c>
      <c r="D24" s="13" t="s">
        <v>29</v>
      </c>
      <c r="E24" s="4"/>
      <c r="F24" s="1"/>
      <c r="G24" s="1"/>
      <c r="H24" s="1"/>
      <c r="I24" s="4"/>
      <c r="J24" s="5"/>
      <c r="K24" s="14"/>
    </row>
    <row r="25" spans="1:11" ht="15.5" x14ac:dyDescent="0.35">
      <c r="B25" s="16" t="s">
        <v>1</v>
      </c>
      <c r="C25" s="8" t="s">
        <v>0</v>
      </c>
      <c r="D25" s="13" t="s">
        <v>29</v>
      </c>
      <c r="E25" s="4"/>
      <c r="F25" s="1"/>
      <c r="G25" s="1"/>
      <c r="H25" s="1"/>
      <c r="I25" s="4"/>
      <c r="J25" s="5"/>
      <c r="K25" s="14"/>
    </row>
    <row r="26" spans="1:11" ht="15.5" x14ac:dyDescent="0.35">
      <c r="B26" s="16" t="s">
        <v>18</v>
      </c>
      <c r="C26" s="8" t="s">
        <v>0</v>
      </c>
      <c r="D26" s="13" t="s">
        <v>29</v>
      </c>
      <c r="E26" s="4"/>
      <c r="F26" s="1"/>
      <c r="G26" s="1"/>
      <c r="H26" s="1"/>
      <c r="I26" s="4"/>
      <c r="J26" s="5"/>
      <c r="K26" s="14"/>
    </row>
    <row r="27" spans="1:11" ht="15.5" x14ac:dyDescent="0.35">
      <c r="B27" s="16"/>
      <c r="C27" s="8"/>
      <c r="D27" s="4"/>
      <c r="E27" s="4"/>
      <c r="F27" s="1"/>
      <c r="G27" s="1"/>
      <c r="H27" s="1"/>
      <c r="I27" s="4"/>
      <c r="J27" s="5"/>
      <c r="K27" s="14"/>
    </row>
    <row r="28" spans="1:11" ht="15.5" x14ac:dyDescent="0.35">
      <c r="B28" s="16" t="s">
        <v>26</v>
      </c>
      <c r="C28" s="8" t="s">
        <v>0</v>
      </c>
      <c r="D28" s="12">
        <f>SUM(D17:D27)</f>
        <v>0</v>
      </c>
      <c r="E28" s="20"/>
      <c r="F28" s="1"/>
      <c r="G28" s="1" t="s">
        <v>25</v>
      </c>
      <c r="H28" s="1" t="s">
        <v>0</v>
      </c>
      <c r="I28" s="6"/>
      <c r="J28" s="12">
        <f>SUM(J17:J22)</f>
        <v>0</v>
      </c>
      <c r="K28" s="14"/>
    </row>
    <row r="29" spans="1:11" ht="15.5" x14ac:dyDescent="0.35">
      <c r="A29" s="1"/>
      <c r="B29" s="16"/>
      <c r="C29" s="1"/>
      <c r="D29" s="1"/>
      <c r="E29" s="1"/>
      <c r="F29" s="1"/>
      <c r="G29" s="1"/>
      <c r="H29" s="1"/>
      <c r="I29" s="1"/>
      <c r="J29" s="1"/>
      <c r="K29" s="14"/>
    </row>
    <row r="30" spans="1:11" ht="15.5" x14ac:dyDescent="0.35">
      <c r="A30" s="1"/>
      <c r="B30" s="16" t="s">
        <v>28</v>
      </c>
      <c r="C30" s="8" t="s">
        <v>0</v>
      </c>
      <c r="D30" s="12">
        <f>+D28-J28</f>
        <v>0</v>
      </c>
      <c r="E30" s="1"/>
      <c r="F30" s="1"/>
      <c r="G30" s="1"/>
      <c r="H30" s="1"/>
      <c r="I30" s="1"/>
      <c r="J30" s="1"/>
      <c r="K30" s="14"/>
    </row>
    <row r="31" spans="1:11" ht="16" thickBot="1" x14ac:dyDescent="0.4">
      <c r="B31" s="21"/>
      <c r="C31" s="22"/>
      <c r="D31" s="22"/>
      <c r="E31" s="22"/>
      <c r="F31" s="22"/>
      <c r="G31" s="22"/>
      <c r="H31" s="22"/>
      <c r="I31" s="22"/>
      <c r="J31" s="22"/>
      <c r="K31" s="23"/>
    </row>
  </sheetData>
  <mergeCells count="1">
    <mergeCell ref="B3:K3"/>
  </mergeCells>
  <pageMargins left="0.7" right="0.7" top="0.75" bottom="0.75" header="0.3" footer="0.3"/>
  <pageSetup scale="7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4"/>
  <sheetViews>
    <sheetView zoomScale="56" zoomScaleNormal="56" workbookViewId="0">
      <pane xSplit="7" ySplit="4" topLeftCell="U5" activePane="bottomRight" state="frozen"/>
      <selection pane="topRight" activeCell="L1" sqref="L1"/>
      <selection pane="bottomLeft" activeCell="A6" sqref="A6"/>
      <selection pane="bottomRight" activeCell="W26" sqref="W26"/>
    </sheetView>
  </sheetViews>
  <sheetFormatPr defaultColWidth="9.1796875" defaultRowHeight="14.5" x14ac:dyDescent="0.35"/>
  <cols>
    <col min="1" max="1" width="2.7265625" style="24" customWidth="1"/>
    <col min="2" max="2" width="5.7265625" style="24" customWidth="1"/>
    <col min="3" max="4" width="12" style="24" customWidth="1"/>
    <col min="5" max="6" width="25.7265625" style="25" customWidth="1"/>
    <col min="7" max="7" width="17.26953125" style="24" customWidth="1"/>
    <col min="8" max="10" width="13.7265625" style="24" customWidth="1"/>
    <col min="11" max="23" width="17.7265625" style="24" customWidth="1"/>
    <col min="24" max="24" width="0.81640625" style="24" customWidth="1"/>
    <col min="25" max="25" width="13.26953125" style="24" customWidth="1"/>
    <col min="26" max="26" width="18.1796875" style="24" customWidth="1"/>
    <col min="27" max="27" width="16.54296875" style="24" customWidth="1"/>
    <col min="28" max="28" width="16.08984375" style="24" customWidth="1"/>
    <col min="29" max="29" width="16" style="24" customWidth="1"/>
    <col min="30" max="30" width="18.36328125" style="24" customWidth="1"/>
    <col min="31" max="31" width="13" style="24" customWidth="1"/>
    <col min="32" max="32" width="14.453125" style="24" customWidth="1"/>
    <col min="33" max="33" width="19.36328125" style="24" customWidth="1"/>
    <col min="34" max="16384" width="9.1796875" style="24"/>
  </cols>
  <sheetData>
    <row r="1" spans="2:33" ht="13" customHeight="1" x14ac:dyDescent="0.35">
      <c r="B1" s="24" t="s">
        <v>54</v>
      </c>
    </row>
    <row r="2" spans="2:33" ht="13" customHeight="1" x14ac:dyDescent="0.35">
      <c r="B2" s="26" t="s">
        <v>33</v>
      </c>
      <c r="C2" s="26"/>
      <c r="D2" s="26"/>
      <c r="K2" s="27"/>
      <c r="L2" s="28"/>
    </row>
    <row r="3" spans="2:33" ht="13" customHeight="1" x14ac:dyDescent="0.35">
      <c r="B3" s="26" t="s">
        <v>46</v>
      </c>
      <c r="C3" s="26"/>
      <c r="D3" s="26"/>
      <c r="K3" s="27"/>
      <c r="L3" s="28"/>
    </row>
    <row r="4" spans="2:33" ht="13" customHeight="1" x14ac:dyDescent="0.35">
      <c r="B4" s="26" t="s">
        <v>263</v>
      </c>
      <c r="C4" s="26"/>
      <c r="D4" s="26"/>
      <c r="K4" s="27"/>
      <c r="L4" s="28"/>
    </row>
    <row r="5" spans="2:33" ht="13" customHeight="1" x14ac:dyDescent="0.35">
      <c r="B5" s="26"/>
      <c r="C5" s="26"/>
      <c r="D5" s="26"/>
      <c r="K5" s="27"/>
      <c r="L5" s="28"/>
    </row>
    <row r="6" spans="2:33" ht="29" customHeight="1" thickBot="1" x14ac:dyDescent="0.4">
      <c r="B6" s="26"/>
      <c r="C6" s="26"/>
      <c r="D6" s="26"/>
      <c r="H6" s="180"/>
      <c r="I6" s="180"/>
      <c r="J6" s="180"/>
      <c r="K6" s="179" t="s">
        <v>258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80"/>
      <c r="X6" s="180"/>
      <c r="Y6" s="179" t="s">
        <v>259</v>
      </c>
      <c r="Z6" s="179"/>
      <c r="AA6" s="179"/>
      <c r="AB6" s="179"/>
      <c r="AC6" s="179"/>
      <c r="AD6" s="179"/>
      <c r="AE6" s="179"/>
    </row>
    <row r="7" spans="2:33" ht="18" customHeight="1" thickTop="1" x14ac:dyDescent="0.35">
      <c r="B7" s="130" t="s">
        <v>34</v>
      </c>
      <c r="C7" s="132" t="s">
        <v>3</v>
      </c>
      <c r="D7" s="132" t="s">
        <v>53</v>
      </c>
      <c r="E7" s="134" t="s">
        <v>35</v>
      </c>
      <c r="F7" s="134" t="s">
        <v>61</v>
      </c>
      <c r="G7" s="122" t="s">
        <v>36</v>
      </c>
      <c r="H7" s="122" t="s">
        <v>55</v>
      </c>
      <c r="I7" s="122" t="s">
        <v>56</v>
      </c>
      <c r="J7" s="122" t="s">
        <v>57</v>
      </c>
      <c r="K7" s="122" t="s">
        <v>37</v>
      </c>
      <c r="L7" s="122" t="s">
        <v>38</v>
      </c>
      <c r="M7" s="122" t="s">
        <v>48</v>
      </c>
      <c r="N7" s="122" t="s">
        <v>39</v>
      </c>
      <c r="O7" s="122" t="s">
        <v>40</v>
      </c>
      <c r="P7" s="122" t="s">
        <v>41</v>
      </c>
      <c r="Q7" s="122" t="s">
        <v>47</v>
      </c>
      <c r="R7" s="122" t="s">
        <v>49</v>
      </c>
      <c r="S7" s="122" t="s">
        <v>50</v>
      </c>
      <c r="T7" s="122" t="s">
        <v>51</v>
      </c>
      <c r="U7" s="122" t="s">
        <v>52</v>
      </c>
      <c r="V7" s="122" t="s">
        <v>41</v>
      </c>
      <c r="W7" s="124" t="s">
        <v>42</v>
      </c>
      <c r="X7" s="48"/>
      <c r="Y7" s="126" t="s">
        <v>58</v>
      </c>
      <c r="Z7" s="128" t="s">
        <v>260</v>
      </c>
      <c r="AA7" s="128" t="s">
        <v>261</v>
      </c>
      <c r="AB7" s="128" t="s">
        <v>262</v>
      </c>
      <c r="AC7" s="136" t="s">
        <v>59</v>
      </c>
      <c r="AD7" s="128" t="s">
        <v>41</v>
      </c>
      <c r="AE7" s="138" t="s">
        <v>60</v>
      </c>
      <c r="AF7" s="176" t="s">
        <v>257</v>
      </c>
      <c r="AG7" s="129" t="s">
        <v>62</v>
      </c>
    </row>
    <row r="8" spans="2:33" ht="59" customHeight="1" x14ac:dyDescent="0.35">
      <c r="B8" s="131"/>
      <c r="C8" s="133"/>
      <c r="D8" s="133"/>
      <c r="E8" s="135"/>
      <c r="F8" s="135"/>
      <c r="G8" s="123"/>
      <c r="H8" s="123"/>
      <c r="I8" s="123"/>
      <c r="J8" s="123"/>
      <c r="K8" s="123"/>
      <c r="L8" s="123" t="s">
        <v>43</v>
      </c>
      <c r="M8" s="123" t="s">
        <v>44</v>
      </c>
      <c r="N8" s="123" t="s">
        <v>44</v>
      </c>
      <c r="O8" s="123" t="s">
        <v>44</v>
      </c>
      <c r="P8" s="123" t="s">
        <v>44</v>
      </c>
      <c r="Q8" s="123"/>
      <c r="R8" s="123"/>
      <c r="S8" s="123"/>
      <c r="T8" s="123"/>
      <c r="U8" s="123"/>
      <c r="V8" s="123"/>
      <c r="W8" s="125"/>
      <c r="X8" s="49"/>
      <c r="Y8" s="127"/>
      <c r="Z8" s="129"/>
      <c r="AA8" s="129"/>
      <c r="AB8" s="129"/>
      <c r="AC8" s="137"/>
      <c r="AD8" s="129"/>
      <c r="AE8" s="139"/>
      <c r="AF8" s="177"/>
      <c r="AG8" s="129"/>
    </row>
    <row r="9" spans="2:33" s="32" customFormat="1" ht="13" customHeight="1" x14ac:dyDescent="0.35">
      <c r="B9" s="31">
        <v>1</v>
      </c>
      <c r="C9" s="43"/>
      <c r="D9" s="43"/>
      <c r="E9" s="43"/>
      <c r="F9" s="43"/>
      <c r="G9" s="43"/>
      <c r="H9" s="43"/>
      <c r="I9" s="43"/>
      <c r="J9" s="43"/>
      <c r="K9" s="178">
        <v>5000000</v>
      </c>
      <c r="L9" s="178">
        <v>100000</v>
      </c>
      <c r="M9" s="178">
        <v>100000</v>
      </c>
      <c r="N9" s="178">
        <v>30000</v>
      </c>
      <c r="O9" s="178">
        <v>300000</v>
      </c>
      <c r="P9" s="178">
        <v>300000</v>
      </c>
      <c r="Q9" s="178">
        <v>4000000</v>
      </c>
      <c r="R9" s="178">
        <v>5000000</v>
      </c>
      <c r="S9" s="178">
        <v>1000000</v>
      </c>
      <c r="T9" s="178">
        <v>1000000</v>
      </c>
      <c r="U9" s="178">
        <v>345600</v>
      </c>
      <c r="V9" s="178">
        <v>40000</v>
      </c>
      <c r="W9" s="178">
        <f>SUM(K9:V9)</f>
        <v>17215600</v>
      </c>
      <c r="X9" s="43"/>
      <c r="Y9" s="178">
        <v>400000</v>
      </c>
      <c r="Z9" s="178">
        <v>500000</v>
      </c>
      <c r="AA9" s="178">
        <v>600000</v>
      </c>
      <c r="AB9" s="178">
        <v>70000</v>
      </c>
      <c r="AC9" s="178">
        <v>600000</v>
      </c>
      <c r="AD9" s="178">
        <v>400000</v>
      </c>
      <c r="AE9" s="178">
        <v>300000</v>
      </c>
      <c r="AF9" s="178">
        <f>SUM(Y9:AE9)</f>
        <v>2870000</v>
      </c>
      <c r="AG9" s="181">
        <f>+W9-AF9</f>
        <v>14345600</v>
      </c>
    </row>
    <row r="10" spans="2:33" s="32" customFormat="1" ht="13" customHeight="1" x14ac:dyDescent="0.35">
      <c r="B10" s="31">
        <f t="shared" ref="B10:B12" si="0">B9+1</f>
        <v>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182"/>
    </row>
    <row r="11" spans="2:33" s="32" customFormat="1" ht="13" customHeight="1" x14ac:dyDescent="0.35">
      <c r="B11" s="31">
        <f t="shared" si="0"/>
        <v>3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182"/>
    </row>
    <row r="12" spans="2:33" s="32" customFormat="1" ht="13" customHeight="1" x14ac:dyDescent="0.35">
      <c r="B12" s="31">
        <f t="shared" si="0"/>
        <v>4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182"/>
    </row>
    <row r="13" spans="2:33" s="34" customFormat="1" ht="36" customHeight="1" thickBot="1" x14ac:dyDescent="0.4">
      <c r="B13" s="119" t="s">
        <v>45</v>
      </c>
      <c r="C13" s="120"/>
      <c r="D13" s="120"/>
      <c r="E13" s="121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33"/>
      <c r="Y13" s="47"/>
      <c r="Z13" s="47"/>
      <c r="AA13" s="47"/>
      <c r="AB13" s="47"/>
      <c r="AC13" s="47"/>
      <c r="AD13" s="47"/>
      <c r="AE13" s="50"/>
      <c r="AF13" s="50"/>
      <c r="AG13" s="47"/>
    </row>
    <row r="14" spans="2:33" s="34" customFormat="1" ht="13" customHeight="1" thickTop="1" x14ac:dyDescent="0.35">
      <c r="B14" s="35"/>
      <c r="C14" s="35"/>
      <c r="D14" s="35"/>
      <c r="E14" s="36"/>
      <c r="F14" s="36"/>
      <c r="G14" s="35"/>
      <c r="H14" s="35"/>
      <c r="I14" s="35"/>
      <c r="J14" s="35"/>
      <c r="K14" s="37"/>
      <c r="L14" s="37"/>
      <c r="M14" s="37"/>
      <c r="N14" s="37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8" spans="11:22" x14ac:dyDescent="0.35">
      <c r="K18" s="39"/>
      <c r="L18" s="40"/>
      <c r="M18" s="40"/>
      <c r="N18" s="39"/>
      <c r="O18" s="40"/>
      <c r="P18" s="40"/>
      <c r="Q18" s="40"/>
      <c r="R18" s="40"/>
      <c r="S18" s="40"/>
      <c r="T18" s="40"/>
      <c r="U18" s="40"/>
      <c r="V18" s="40"/>
    </row>
    <row r="19" spans="11:22" x14ac:dyDescent="0.35">
      <c r="K19" s="40"/>
      <c r="L19" s="40"/>
      <c r="M19" s="40"/>
      <c r="N19" s="39"/>
      <c r="O19" s="40"/>
      <c r="P19" s="39"/>
      <c r="Q19" s="40"/>
      <c r="R19" s="40"/>
      <c r="S19" s="40"/>
      <c r="T19" s="40"/>
      <c r="U19" s="40"/>
      <c r="V19" s="40"/>
    </row>
    <row r="20" spans="11:22" x14ac:dyDescent="0.35">
      <c r="K20" s="40"/>
      <c r="L20" s="40"/>
      <c r="M20" s="40"/>
      <c r="N20" s="39"/>
      <c r="O20" s="40"/>
      <c r="P20" s="39"/>
      <c r="Q20" s="40"/>
      <c r="R20" s="40"/>
      <c r="S20" s="40"/>
      <c r="T20" s="40"/>
      <c r="U20" s="40"/>
      <c r="V20" s="40"/>
    </row>
    <row r="21" spans="11:22" x14ac:dyDescent="0.35">
      <c r="K21" s="40"/>
      <c r="L21" s="40"/>
      <c r="M21" s="40"/>
      <c r="N21" s="39"/>
      <c r="O21" s="40"/>
      <c r="P21" s="39"/>
      <c r="Q21" s="40"/>
      <c r="R21" s="40"/>
      <c r="S21" s="40"/>
      <c r="T21" s="40"/>
      <c r="U21" s="40"/>
      <c r="V21" s="40"/>
    </row>
    <row r="22" spans="11:22" x14ac:dyDescent="0.35">
      <c r="K22" s="40"/>
      <c r="L22" s="40"/>
      <c r="M22" s="40"/>
      <c r="N22" s="39"/>
      <c r="O22" s="40"/>
      <c r="P22" s="39"/>
      <c r="Q22" s="40"/>
      <c r="R22" s="40"/>
      <c r="S22" s="40"/>
      <c r="T22" s="40"/>
      <c r="U22" s="40"/>
      <c r="V22" s="40"/>
    </row>
    <row r="23" spans="11:22" x14ac:dyDescent="0.35">
      <c r="K23" s="40"/>
      <c r="L23" s="40"/>
      <c r="M23" s="40"/>
      <c r="N23" s="40"/>
      <c r="O23" s="40"/>
      <c r="P23" s="41"/>
      <c r="Q23" s="41"/>
      <c r="R23" s="41"/>
      <c r="S23" s="41"/>
      <c r="T23" s="41"/>
      <c r="U23" s="41"/>
      <c r="V23" s="41"/>
    </row>
    <row r="24" spans="11:22" x14ac:dyDescent="0.35"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</sheetData>
  <mergeCells count="34">
    <mergeCell ref="K6:V6"/>
    <mergeCell ref="Y6:AE6"/>
    <mergeCell ref="AG7:AG8"/>
    <mergeCell ref="F7:F8"/>
    <mergeCell ref="O7:O8"/>
    <mergeCell ref="G7:G8"/>
    <mergeCell ref="H7:H8"/>
    <mergeCell ref="I7:I8"/>
    <mergeCell ref="K7:K8"/>
    <mergeCell ref="L7:L8"/>
    <mergeCell ref="M7:M8"/>
    <mergeCell ref="N7:N8"/>
    <mergeCell ref="AB7:AB8"/>
    <mergeCell ref="AC7:AC8"/>
    <mergeCell ref="AD7:AD8"/>
    <mergeCell ref="AE7:AE8"/>
    <mergeCell ref="AA7:AA8"/>
    <mergeCell ref="AF7:AF8"/>
    <mergeCell ref="B13:E13"/>
    <mergeCell ref="V7:V8"/>
    <mergeCell ref="W7:W8"/>
    <mergeCell ref="Y7:Y8"/>
    <mergeCell ref="Z7:Z8"/>
    <mergeCell ref="P7:P8"/>
    <mergeCell ref="Q7:Q8"/>
    <mergeCell ref="R7:R8"/>
    <mergeCell ref="S7:S8"/>
    <mergeCell ref="T7:T8"/>
    <mergeCell ref="U7:U8"/>
    <mergeCell ref="B7:B8"/>
    <mergeCell ref="C7:C8"/>
    <mergeCell ref="D7:D8"/>
    <mergeCell ref="E7:E8"/>
    <mergeCell ref="J7:J8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0"/>
  <sheetViews>
    <sheetView workbookViewId="0">
      <pane xSplit="4" ySplit="6" topLeftCell="H7" activePane="bottomRight" state="frozen"/>
      <selection pane="topRight" activeCell="E1" sqref="E1"/>
      <selection pane="bottomLeft" activeCell="A6" sqref="A6"/>
      <selection pane="bottomRight" activeCell="A3" sqref="A3"/>
    </sheetView>
  </sheetViews>
  <sheetFormatPr defaultRowHeight="14.5" x14ac:dyDescent="0.35"/>
  <cols>
    <col min="4" max="4" width="14.26953125" customWidth="1"/>
    <col min="5" max="5" width="17.81640625" customWidth="1"/>
    <col min="6" max="6" width="14.6328125" customWidth="1"/>
    <col min="7" max="7" width="16.90625" customWidth="1"/>
    <col min="8" max="8" width="22" customWidth="1"/>
    <col min="9" max="9" width="16.81640625" customWidth="1"/>
    <col min="10" max="10" width="17" customWidth="1"/>
    <col min="11" max="11" width="16.7265625" customWidth="1"/>
    <col min="12" max="12" width="15.7265625" customWidth="1"/>
  </cols>
  <sheetData>
    <row r="1" spans="1:16384" ht="14.5" customHeight="1" x14ac:dyDescent="0.35">
      <c r="A1" s="24" t="s">
        <v>66</v>
      </c>
      <c r="B1" s="24"/>
      <c r="C1" s="24"/>
      <c r="D1" s="25"/>
      <c r="E1" s="24"/>
      <c r="F1" s="24"/>
      <c r="G1" s="24"/>
      <c r="I1" s="140" t="s">
        <v>126</v>
      </c>
    </row>
    <row r="2" spans="1:16384" x14ac:dyDescent="0.35">
      <c r="A2" s="26" t="s">
        <v>33</v>
      </c>
      <c r="B2" s="26"/>
      <c r="C2" s="26"/>
      <c r="D2" s="25"/>
      <c r="E2" s="24"/>
      <c r="F2" s="24"/>
      <c r="G2" s="24"/>
      <c r="I2" s="140"/>
    </row>
    <row r="3" spans="1:16384" x14ac:dyDescent="0.35">
      <c r="A3" s="26" t="s">
        <v>263</v>
      </c>
      <c r="B3" s="26"/>
      <c r="C3" s="26"/>
      <c r="D3" s="25"/>
      <c r="E3" s="24"/>
      <c r="F3" s="24"/>
      <c r="G3" s="24"/>
      <c r="I3" s="140"/>
    </row>
    <row r="4" spans="1:16384" x14ac:dyDescent="0.35">
      <c r="A4" s="29">
        <f>1</f>
        <v>1</v>
      </c>
      <c r="B4" s="29"/>
      <c r="C4" s="29"/>
      <c r="D4" s="30">
        <f>+A4+1</f>
        <v>2</v>
      </c>
      <c r="E4" s="30"/>
      <c r="F4" s="30"/>
      <c r="G4" s="30"/>
      <c r="I4" s="140"/>
    </row>
    <row r="5" spans="1:16384" ht="19" customHeight="1" x14ac:dyDescent="0.35">
      <c r="A5" s="29"/>
      <c r="B5" s="29"/>
      <c r="C5" s="29"/>
      <c r="D5" s="30"/>
      <c r="E5" s="30"/>
      <c r="F5" s="30"/>
      <c r="G5" s="30"/>
      <c r="I5" s="141"/>
      <c r="J5" s="57" t="s">
        <v>74</v>
      </c>
      <c r="K5" s="57" t="s">
        <v>75</v>
      </c>
    </row>
    <row r="6" spans="1:16384" s="62" customFormat="1" ht="29.5" customHeight="1" x14ac:dyDescent="0.35">
      <c r="A6" s="53" t="s">
        <v>34</v>
      </c>
      <c r="B6" s="53" t="s">
        <v>3</v>
      </c>
      <c r="C6" s="53" t="s">
        <v>53</v>
      </c>
      <c r="D6" s="54" t="s">
        <v>35</v>
      </c>
      <c r="E6" s="55" t="s">
        <v>36</v>
      </c>
      <c r="F6" s="55" t="s">
        <v>55</v>
      </c>
      <c r="G6" s="55" t="s">
        <v>56</v>
      </c>
      <c r="H6" s="56" t="s">
        <v>63</v>
      </c>
      <c r="I6" s="56" t="s">
        <v>64</v>
      </c>
      <c r="J6" s="61">
        <v>0.04</v>
      </c>
      <c r="K6" s="61">
        <v>0.01</v>
      </c>
      <c r="L6" s="57" t="s">
        <v>45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pans="1:16384" x14ac:dyDescent="0.35">
      <c r="A7" s="51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6384" x14ac:dyDescent="0.35">
      <c r="A8" s="31">
        <f t="shared" ref="A8:A10" si="0">A7+1</f>
        <v>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6384" x14ac:dyDescent="0.35">
      <c r="A9" s="31">
        <f t="shared" si="0"/>
        <v>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6384" x14ac:dyDescent="0.35">
      <c r="A10" s="31">
        <f t="shared" si="0"/>
        <v>4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</sheetData>
  <mergeCells count="1">
    <mergeCell ref="I1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"/>
  <sheetViews>
    <sheetView workbookViewId="0">
      <selection activeCell="A3" sqref="A3"/>
    </sheetView>
  </sheetViews>
  <sheetFormatPr defaultRowHeight="14.5" x14ac:dyDescent="0.35"/>
  <cols>
    <col min="4" max="4" width="14.26953125" customWidth="1"/>
    <col min="5" max="5" width="17.81640625" customWidth="1"/>
    <col min="6" max="6" width="14.6328125" customWidth="1"/>
    <col min="7" max="7" width="16.90625" customWidth="1"/>
    <col min="8" max="8" width="22" customWidth="1"/>
    <col min="9" max="9" width="20.54296875" customWidth="1"/>
    <col min="10" max="16" width="13.1796875" customWidth="1"/>
    <col min="17" max="17" width="15.7265625" customWidth="1"/>
  </cols>
  <sheetData>
    <row r="1" spans="1:16384" x14ac:dyDescent="0.35">
      <c r="A1" s="24" t="s">
        <v>67</v>
      </c>
      <c r="B1" s="24"/>
      <c r="C1" s="24"/>
      <c r="D1" s="25"/>
      <c r="E1" s="24"/>
      <c r="F1" s="24"/>
      <c r="G1" s="24"/>
      <c r="I1" s="142" t="s">
        <v>65</v>
      </c>
    </row>
    <row r="2" spans="1:16384" x14ac:dyDescent="0.35">
      <c r="A2" s="26" t="s">
        <v>33</v>
      </c>
      <c r="B2" s="26"/>
      <c r="C2" s="26"/>
      <c r="D2" s="25"/>
      <c r="E2" s="24"/>
      <c r="F2" s="24"/>
      <c r="G2" s="24"/>
      <c r="I2" s="142"/>
    </row>
    <row r="3" spans="1:16384" x14ac:dyDescent="0.35">
      <c r="A3" s="26" t="s">
        <v>263</v>
      </c>
      <c r="B3" s="26"/>
      <c r="C3" s="26"/>
      <c r="D3" s="25"/>
      <c r="E3" s="24"/>
      <c r="F3" s="24"/>
      <c r="G3" s="24"/>
      <c r="I3" s="142"/>
    </row>
    <row r="4" spans="1:16384" x14ac:dyDescent="0.35">
      <c r="A4" s="29">
        <f>1</f>
        <v>1</v>
      </c>
      <c r="B4" s="29"/>
      <c r="C4" s="29"/>
      <c r="D4" s="30">
        <f>+A4+1</f>
        <v>2</v>
      </c>
      <c r="E4" s="30"/>
      <c r="F4" s="30"/>
      <c r="G4" s="30"/>
      <c r="I4" s="143"/>
    </row>
    <row r="5" spans="1:16384" ht="22" customHeight="1" x14ac:dyDescent="0.35">
      <c r="A5" s="29"/>
      <c r="B5" s="29"/>
      <c r="C5" s="29"/>
      <c r="D5" s="30"/>
      <c r="E5" s="30"/>
      <c r="F5" s="30"/>
      <c r="G5" s="30"/>
      <c r="I5" s="59"/>
      <c r="J5" s="144" t="s">
        <v>74</v>
      </c>
      <c r="K5" s="145"/>
      <c r="L5" s="145"/>
      <c r="M5" s="146"/>
      <c r="O5" s="147" t="s">
        <v>75</v>
      </c>
      <c r="P5" s="148"/>
    </row>
    <row r="6" spans="1:16384" ht="25" customHeight="1" x14ac:dyDescent="0.35">
      <c r="A6" s="29"/>
      <c r="B6" s="29"/>
      <c r="C6" s="29"/>
      <c r="D6" s="30"/>
      <c r="E6" s="30"/>
      <c r="F6" s="30"/>
      <c r="G6" s="30"/>
      <c r="I6" s="59"/>
      <c r="J6" s="44" t="s">
        <v>69</v>
      </c>
      <c r="K6" s="63" t="s">
        <v>70</v>
      </c>
      <c r="L6" s="63" t="s">
        <v>71</v>
      </c>
      <c r="M6" s="63" t="s">
        <v>72</v>
      </c>
      <c r="O6" s="64" t="s">
        <v>71</v>
      </c>
      <c r="P6" s="64" t="s">
        <v>72</v>
      </c>
    </row>
    <row r="7" spans="1:16384" s="58" customFormat="1" ht="29.5" customHeight="1" x14ac:dyDescent="0.35">
      <c r="A7" s="53" t="s">
        <v>34</v>
      </c>
      <c r="B7" s="53" t="s">
        <v>3</v>
      </c>
      <c r="C7" s="53" t="s">
        <v>53</v>
      </c>
      <c r="D7" s="54" t="s">
        <v>35</v>
      </c>
      <c r="E7" s="55" t="s">
        <v>36</v>
      </c>
      <c r="F7" s="55" t="s">
        <v>55</v>
      </c>
      <c r="G7" s="55" t="s">
        <v>56</v>
      </c>
      <c r="H7" s="56" t="s">
        <v>63</v>
      </c>
      <c r="I7" s="56" t="s">
        <v>68</v>
      </c>
      <c r="J7" s="57" t="s">
        <v>73</v>
      </c>
      <c r="K7" s="60">
        <v>3.0000000000000001E-3</v>
      </c>
      <c r="L7" s="60">
        <v>3.6999999999999998E-2</v>
      </c>
      <c r="M7" s="61">
        <v>0.02</v>
      </c>
      <c r="N7" s="61" t="s">
        <v>45</v>
      </c>
      <c r="O7" s="61">
        <v>0.02</v>
      </c>
      <c r="P7" s="61">
        <v>0.01</v>
      </c>
      <c r="Q7" s="57" t="s">
        <v>45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pans="1:16384" x14ac:dyDescent="0.35">
      <c r="A8" s="51">
        <v>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6384" x14ac:dyDescent="0.35">
      <c r="A9" s="31">
        <f t="shared" ref="A9:A11" si="0">A8+1</f>
        <v>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6384" x14ac:dyDescent="0.35">
      <c r="A10" s="31">
        <f t="shared" si="0"/>
        <v>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16384" x14ac:dyDescent="0.35">
      <c r="A11" s="31">
        <f t="shared" si="0"/>
        <v>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</sheetData>
  <mergeCells count="3">
    <mergeCell ref="I1:I4"/>
    <mergeCell ref="J5:M5"/>
    <mergeCell ref="O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1"/>
  <sheetViews>
    <sheetView workbookViewId="0">
      <selection activeCell="D7" sqref="D7"/>
    </sheetView>
  </sheetViews>
  <sheetFormatPr defaultColWidth="8.453125" defaultRowHeight="12.5" x14ac:dyDescent="0.25"/>
  <cols>
    <col min="1" max="1" width="12.453125" style="66" customWidth="1"/>
    <col min="2" max="2" width="7.453125" style="66" customWidth="1"/>
    <col min="3" max="3" width="13.54296875" style="66" customWidth="1"/>
    <col min="4" max="4" width="14.54296875" style="68" bestFit="1" customWidth="1"/>
    <col min="5" max="6" width="13.36328125" style="68" customWidth="1"/>
    <col min="7" max="7" width="14.6328125" style="68" customWidth="1"/>
    <col min="8" max="8" width="12.90625" style="68" customWidth="1"/>
    <col min="9" max="10" width="16.453125" style="68" customWidth="1"/>
    <col min="11" max="15" width="15.6328125" style="68" customWidth="1"/>
    <col min="16" max="16" width="16.36328125" style="68" customWidth="1"/>
    <col min="17" max="17" width="12.08984375" style="68" customWidth="1"/>
    <col min="18" max="20" width="12.453125" style="68" customWidth="1"/>
    <col min="21" max="21" width="15.36328125" style="68" customWidth="1"/>
    <col min="22" max="22" width="12.453125" style="68" customWidth="1"/>
    <col min="23" max="23" width="15.36328125" style="68" customWidth="1"/>
    <col min="24" max="26" width="17.36328125" style="68" customWidth="1"/>
    <col min="27" max="27" width="12.08984375" style="68" customWidth="1"/>
    <col min="28" max="28" width="18.90625" style="66" customWidth="1"/>
    <col min="29" max="29" width="15.453125" style="68" customWidth="1"/>
    <col min="30" max="30" width="16.90625" style="66" customWidth="1"/>
    <col min="31" max="31" width="16.54296875" style="68" customWidth="1"/>
    <col min="32" max="32" width="13.90625" style="66" customWidth="1"/>
    <col min="33" max="34" width="12.90625" style="66" customWidth="1"/>
    <col min="35" max="35" width="13.90625" style="66" bestFit="1" customWidth="1"/>
    <col min="36" max="37" width="2.6328125" style="66" customWidth="1"/>
    <col min="38" max="39" width="12.6328125" style="66" customWidth="1"/>
    <col min="40" max="40" width="2.6328125" style="66" customWidth="1"/>
    <col min="41" max="43" width="12.6328125" style="66" customWidth="1"/>
    <col min="44" max="16384" width="8.453125" style="66"/>
  </cols>
  <sheetData>
    <row r="1" spans="1:43" ht="13" x14ac:dyDescent="0.3">
      <c r="A1" s="65" t="s">
        <v>76</v>
      </c>
      <c r="D1" s="67"/>
    </row>
    <row r="2" spans="1:43" ht="13" x14ac:dyDescent="0.3">
      <c r="A2" s="65" t="s">
        <v>118</v>
      </c>
      <c r="B2" s="69"/>
      <c r="C2" s="69"/>
      <c r="E2" s="70"/>
      <c r="F2" s="70"/>
    </row>
    <row r="3" spans="1:43" ht="13.5" thickBot="1" x14ac:dyDescent="0.35">
      <c r="A3" s="71" t="s">
        <v>127</v>
      </c>
      <c r="B3" s="72"/>
      <c r="C3" s="73"/>
      <c r="AE3" s="74"/>
    </row>
    <row r="4" spans="1:43" ht="27.75" customHeight="1" thickBot="1" x14ac:dyDescent="0.35">
      <c r="A4" s="164" t="s">
        <v>77</v>
      </c>
      <c r="B4" s="164" t="s">
        <v>78</v>
      </c>
      <c r="C4" s="164" t="s">
        <v>79</v>
      </c>
      <c r="D4" s="157" t="s">
        <v>120</v>
      </c>
      <c r="E4" s="156" t="s">
        <v>130</v>
      </c>
      <c r="F4" s="156"/>
      <c r="G4" s="156"/>
      <c r="H4" s="156"/>
      <c r="I4" s="157" t="s">
        <v>131</v>
      </c>
      <c r="J4" s="157" t="s">
        <v>124</v>
      </c>
      <c r="K4" s="159" t="s">
        <v>125</v>
      </c>
      <c r="L4" s="160"/>
      <c r="M4" s="149" t="s">
        <v>81</v>
      </c>
      <c r="N4" s="149" t="s">
        <v>82</v>
      </c>
      <c r="O4" s="149" t="s">
        <v>83</v>
      </c>
      <c r="P4" s="149" t="s">
        <v>84</v>
      </c>
      <c r="Q4" s="163" t="s">
        <v>85</v>
      </c>
      <c r="R4" s="161" t="s">
        <v>123</v>
      </c>
      <c r="S4" s="162"/>
      <c r="T4" s="105"/>
      <c r="U4" s="149" t="s">
        <v>86</v>
      </c>
      <c r="V4" s="149" t="s">
        <v>87</v>
      </c>
      <c r="W4" s="149" t="s">
        <v>88</v>
      </c>
      <c r="X4" s="153" t="s">
        <v>89</v>
      </c>
      <c r="Y4" s="154"/>
      <c r="Z4" s="154"/>
      <c r="AA4" s="154"/>
      <c r="AB4" s="154"/>
      <c r="AC4" s="155"/>
      <c r="AD4" s="149" t="s">
        <v>90</v>
      </c>
      <c r="AE4" s="149" t="s">
        <v>91</v>
      </c>
      <c r="AF4" s="151" t="s">
        <v>92</v>
      </c>
      <c r="AG4" s="151" t="s">
        <v>93</v>
      </c>
      <c r="AH4" s="75"/>
      <c r="AI4" s="151" t="s">
        <v>94</v>
      </c>
    </row>
    <row r="5" spans="1:43" ht="57" customHeight="1" x14ac:dyDescent="0.25">
      <c r="A5" s="165"/>
      <c r="B5" s="165"/>
      <c r="C5" s="165"/>
      <c r="D5" s="158"/>
      <c r="E5" s="107" t="s">
        <v>95</v>
      </c>
      <c r="F5" s="107" t="s">
        <v>128</v>
      </c>
      <c r="G5" s="107" t="s">
        <v>129</v>
      </c>
      <c r="H5" s="107" t="s">
        <v>80</v>
      </c>
      <c r="I5" s="158"/>
      <c r="J5" s="158"/>
      <c r="K5" s="108" t="s">
        <v>96</v>
      </c>
      <c r="L5" s="108" t="s">
        <v>97</v>
      </c>
      <c r="M5" s="150"/>
      <c r="N5" s="150"/>
      <c r="O5" s="150"/>
      <c r="P5" s="150"/>
      <c r="Q5" s="150"/>
      <c r="R5" s="106" t="s">
        <v>121</v>
      </c>
      <c r="S5" s="106" t="s">
        <v>122</v>
      </c>
      <c r="T5" s="106" t="s">
        <v>132</v>
      </c>
      <c r="U5" s="150"/>
      <c r="V5" s="150"/>
      <c r="W5" s="150"/>
      <c r="X5" s="76" t="s">
        <v>98</v>
      </c>
      <c r="Y5" s="76" t="s">
        <v>99</v>
      </c>
      <c r="Z5" s="76" t="s">
        <v>100</v>
      </c>
      <c r="AA5" s="76" t="s">
        <v>101</v>
      </c>
      <c r="AB5" s="76" t="s">
        <v>102</v>
      </c>
      <c r="AC5" s="76" t="s">
        <v>103</v>
      </c>
      <c r="AD5" s="150"/>
      <c r="AE5" s="150"/>
      <c r="AF5" s="152"/>
      <c r="AG5" s="152"/>
      <c r="AH5" s="77" t="s">
        <v>104</v>
      </c>
      <c r="AI5" s="152"/>
    </row>
    <row r="6" spans="1:43" x14ac:dyDescent="0.25">
      <c r="A6" s="72"/>
      <c r="B6" s="72"/>
      <c r="C6" s="72"/>
      <c r="D6" s="78"/>
      <c r="E6" s="79"/>
      <c r="F6" s="78"/>
      <c r="G6" s="78"/>
      <c r="H6" s="80"/>
      <c r="I6" s="80"/>
      <c r="J6" s="80"/>
      <c r="K6" s="80"/>
      <c r="L6" s="80"/>
      <c r="M6" s="80"/>
      <c r="N6" s="80"/>
      <c r="O6" s="80"/>
      <c r="P6" s="78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1"/>
      <c r="AG6" s="82"/>
      <c r="AH6" s="82"/>
      <c r="AI6" s="81"/>
    </row>
    <row r="7" spans="1:43" ht="13" x14ac:dyDescent="0.3">
      <c r="A7" s="83" t="s">
        <v>105</v>
      </c>
      <c r="B7" s="109" t="s">
        <v>119</v>
      </c>
      <c r="C7" s="110">
        <v>44662</v>
      </c>
      <c r="D7" s="78">
        <v>29200000</v>
      </c>
      <c r="E7" s="78"/>
      <c r="F7" s="84"/>
      <c r="G7" s="84"/>
      <c r="H7" s="78">
        <v>0</v>
      </c>
      <c r="I7" s="80">
        <f t="shared" ref="I7:I18" si="0">SUM(E7:H7)</f>
        <v>0</v>
      </c>
      <c r="J7" s="80">
        <f>+D7+I7</f>
        <v>29200000</v>
      </c>
      <c r="K7" s="80">
        <f>(0.24%*D7)+(D7*0.3%)</f>
        <v>157680</v>
      </c>
      <c r="L7" s="104">
        <f>IF(D7&gt;=12000000,12000000*4%,D7*4%)</f>
        <v>480000</v>
      </c>
      <c r="M7" s="80">
        <f>+D7+I7+K7+L7+M6</f>
        <v>29837680</v>
      </c>
      <c r="N7" s="78"/>
      <c r="O7" s="80">
        <f>+N7+O6</f>
        <v>0</v>
      </c>
      <c r="P7" s="80">
        <f>M7+O7</f>
        <v>29837680</v>
      </c>
      <c r="Q7" s="80">
        <f>IF(5%*P7&gt;500000*1,500000*1,5%*P7)</f>
        <v>500000</v>
      </c>
      <c r="R7" s="80">
        <f>(D7*2%)</f>
        <v>584000</v>
      </c>
      <c r="S7" s="80">
        <f>IF(D7&gt;=9077600,9077600*1%,D7*1%)</f>
        <v>90776</v>
      </c>
      <c r="T7" s="80">
        <f>+R7+S7</f>
        <v>674776</v>
      </c>
      <c r="U7" s="80">
        <f t="shared" ref="U7" si="1">+R7+S7+U6</f>
        <v>674776</v>
      </c>
      <c r="V7" s="80">
        <f t="shared" ref="V7:V19" si="2">+Q7+U7</f>
        <v>1174776</v>
      </c>
      <c r="W7" s="80">
        <f>P7-V7</f>
        <v>28662904</v>
      </c>
      <c r="X7" s="78">
        <f>W7*12/1</f>
        <v>343954848</v>
      </c>
      <c r="Y7" s="80">
        <v>0</v>
      </c>
      <c r="Z7" s="80">
        <f t="shared" ref="Z7:Z18" si="3">SUM(X7:Y7)</f>
        <v>343954848</v>
      </c>
      <c r="AA7" s="78">
        <f t="shared" ref="AA7:AA18" si="4">IF(B7="S/0",54000000,IF(B7="S/1",58500000,IF(B7="M/0",58500000,IF(B7="M/1",63000000,IF(B7="M/2",67500000,IF(B7="M/3",72000000))))))</f>
        <v>63000000</v>
      </c>
      <c r="AB7" s="85">
        <f t="shared" ref="AB7:AB18" si="5">ROUNDDOWN(Z7-AA7,-3)</f>
        <v>280954000</v>
      </c>
      <c r="AC7" s="80">
        <f>IF(AB7&lt;=0,0,IF(AB7&lt;=60000000,0.05*AB7,IF(AB7&lt;=250000000,3000000+(AB7-60000000)*0.15,IF(AB7&lt;=500000000,31500000+(AB7-250000000)*0.25,IF(AB7&lt;=5000000000,94000000+(AB7-500000000)*0.3,IF(AB7&gt;5000000000,1444000000+(AB7-5000000000)*0.35))))))</f>
        <v>39238500</v>
      </c>
      <c r="AD7" s="86">
        <f>AC7*1/12</f>
        <v>3269875</v>
      </c>
      <c r="AE7" s="78">
        <f>AD7-AD6</f>
        <v>3269875</v>
      </c>
      <c r="AF7" s="86">
        <f>P7-P6</f>
        <v>29837680</v>
      </c>
      <c r="AG7" s="85">
        <f t="shared" ref="AG7:AG18" si="6">+P7-AF7-P6</f>
        <v>0</v>
      </c>
      <c r="AH7" s="104">
        <f>IF(D7&gt;=12000000,12000000*1%,D7*1%)</f>
        <v>120000</v>
      </c>
      <c r="AI7" s="87">
        <f>D7+I7+N7-AE7-R7-AH7</f>
        <v>25226125</v>
      </c>
      <c r="AL7" s="88"/>
      <c r="AM7" s="88"/>
    </row>
    <row r="8" spans="1:43" ht="13" x14ac:dyDescent="0.3">
      <c r="A8" s="83" t="s">
        <v>106</v>
      </c>
      <c r="B8" s="109" t="s">
        <v>119</v>
      </c>
      <c r="C8" s="110"/>
      <c r="D8" s="78">
        <v>29200000</v>
      </c>
      <c r="E8" s="78"/>
      <c r="F8" s="78">
        <v>2000000</v>
      </c>
      <c r="G8" s="84">
        <v>9000000</v>
      </c>
      <c r="H8" s="78">
        <v>0</v>
      </c>
      <c r="I8" s="80">
        <f t="shared" ref="I8:I9" si="7">SUM(E8:H8)</f>
        <v>11000000</v>
      </c>
      <c r="J8" s="80">
        <f t="shared" ref="J8:J18" si="8">+D8+I8</f>
        <v>40200000</v>
      </c>
      <c r="K8" s="80">
        <f t="shared" ref="K8:K18" si="9">(0.24%*D8)+(D8*0.3%)</f>
        <v>157680</v>
      </c>
      <c r="L8" s="80">
        <f t="shared" ref="L8:L18" si="10">IF(D8&gt;=12000000,12000000*4%,D8*4%)</f>
        <v>480000</v>
      </c>
      <c r="M8" s="80">
        <f t="shared" ref="M8:M18" si="11">+D8+I8+K8+L8+M7</f>
        <v>70675360</v>
      </c>
      <c r="N8" s="80"/>
      <c r="O8" s="80">
        <f t="shared" ref="O8:O18" si="12">+N8+O7</f>
        <v>0</v>
      </c>
      <c r="P8" s="80">
        <f t="shared" ref="P8:P18" si="13">M8+O8</f>
        <v>70675360</v>
      </c>
      <c r="Q8" s="80">
        <f>IF(5%*P8&gt;500000*2,500000*2,5%*P8)</f>
        <v>1000000</v>
      </c>
      <c r="R8" s="80">
        <f t="shared" ref="R8:R18" si="14">(D8*2%)</f>
        <v>584000</v>
      </c>
      <c r="S8" s="80">
        <f t="shared" ref="S8:S18" si="15">IF(D8&gt;=9077600,9077600*1%,D8*1%)</f>
        <v>90776</v>
      </c>
      <c r="T8" s="80">
        <f t="shared" ref="T8:T18" si="16">+R8+S8</f>
        <v>674776</v>
      </c>
      <c r="U8" s="80">
        <f t="shared" ref="U8:U18" si="17">+T8+U7</f>
        <v>1349552</v>
      </c>
      <c r="V8" s="80">
        <f t="shared" si="2"/>
        <v>2349552</v>
      </c>
      <c r="W8" s="80">
        <f t="shared" ref="W8:W18" si="18">P8-V8</f>
        <v>68325808</v>
      </c>
      <c r="X8" s="78">
        <f>W8*12/2</f>
        <v>409954848</v>
      </c>
      <c r="Y8" s="80">
        <v>0</v>
      </c>
      <c r="Z8" s="80">
        <f t="shared" si="3"/>
        <v>409954848</v>
      </c>
      <c r="AA8" s="78">
        <f t="shared" si="4"/>
        <v>63000000</v>
      </c>
      <c r="AB8" s="85">
        <f t="shared" si="5"/>
        <v>346954000</v>
      </c>
      <c r="AC8" s="80">
        <f t="shared" ref="AC8:AC18" si="19">IF(AB8&lt;=0,0,IF(AB8&lt;=60000000,0.05*AB8,IF(AB8&lt;=250000000,3000000+(AB8-60000000)*0.15,IF(AB8&lt;=500000000,31500000+(AB8-250000000)*0.25,IF(AB8&lt;=5000000000,94000000+(AB8-500000000)*0.3,IF(AB8&gt;5000000000,1444000000+(AB8-5000000000)*0.35))))))</f>
        <v>55738500</v>
      </c>
      <c r="AD8" s="86">
        <f>AC8*2/12</f>
        <v>9289750</v>
      </c>
      <c r="AE8" s="78">
        <f t="shared" ref="AE8:AE18" si="20">AD8-AD7</f>
        <v>6019875</v>
      </c>
      <c r="AF8" s="86">
        <f t="shared" ref="AF8:AF18" si="21">P8-P7</f>
        <v>40837680</v>
      </c>
      <c r="AG8" s="85">
        <f t="shared" si="6"/>
        <v>0</v>
      </c>
      <c r="AH8" s="104">
        <f t="shared" ref="AH8:AH18" si="22">IF(D8&gt;=12000000,12000000*1%,D8*1%)</f>
        <v>120000</v>
      </c>
      <c r="AI8" s="87">
        <f t="shared" ref="AI8:AI18" si="23">D8+I8+N8-AE8-R8-AH8</f>
        <v>33476125</v>
      </c>
      <c r="AL8" s="88"/>
      <c r="AM8" s="88"/>
    </row>
    <row r="9" spans="1:43" ht="13" x14ac:dyDescent="0.3">
      <c r="A9" s="83" t="s">
        <v>107</v>
      </c>
      <c r="B9" s="109" t="s">
        <v>119</v>
      </c>
      <c r="C9" s="110"/>
      <c r="D9" s="78">
        <v>29200000</v>
      </c>
      <c r="E9" s="78"/>
      <c r="F9" s="78"/>
      <c r="G9" s="84"/>
      <c r="H9" s="78">
        <v>0</v>
      </c>
      <c r="I9" s="80">
        <f t="shared" si="7"/>
        <v>0</v>
      </c>
      <c r="J9" s="80">
        <f t="shared" si="8"/>
        <v>29200000</v>
      </c>
      <c r="K9" s="80">
        <f t="shared" si="9"/>
        <v>157680</v>
      </c>
      <c r="L9" s="80">
        <f t="shared" si="10"/>
        <v>480000</v>
      </c>
      <c r="M9" s="80">
        <f t="shared" si="11"/>
        <v>100513040</v>
      </c>
      <c r="N9" s="80">
        <v>32200000</v>
      </c>
      <c r="O9" s="80">
        <f t="shared" si="12"/>
        <v>32200000</v>
      </c>
      <c r="P9" s="80">
        <f t="shared" si="13"/>
        <v>132713040</v>
      </c>
      <c r="Q9" s="80">
        <f>IF(5%*P9&gt;500000*3,500000*3,5%*P9)</f>
        <v>1500000</v>
      </c>
      <c r="R9" s="80">
        <f t="shared" si="14"/>
        <v>584000</v>
      </c>
      <c r="S9" s="80">
        <f t="shared" si="15"/>
        <v>90776</v>
      </c>
      <c r="T9" s="80">
        <f t="shared" si="16"/>
        <v>674776</v>
      </c>
      <c r="U9" s="80">
        <f t="shared" si="17"/>
        <v>2024328</v>
      </c>
      <c r="V9" s="80">
        <f t="shared" si="2"/>
        <v>3524328</v>
      </c>
      <c r="W9" s="80">
        <f t="shared" si="18"/>
        <v>129188712</v>
      </c>
      <c r="X9" s="78">
        <f>W9*12/3</f>
        <v>516754848</v>
      </c>
      <c r="Y9" s="80">
        <v>0</v>
      </c>
      <c r="Z9" s="80">
        <f t="shared" si="3"/>
        <v>516754848</v>
      </c>
      <c r="AA9" s="78">
        <f t="shared" si="4"/>
        <v>63000000</v>
      </c>
      <c r="AB9" s="85">
        <f t="shared" si="5"/>
        <v>453754000</v>
      </c>
      <c r="AC9" s="80">
        <f t="shared" si="19"/>
        <v>82438500</v>
      </c>
      <c r="AD9" s="86">
        <f>AC9*3/12</f>
        <v>20609625</v>
      </c>
      <c r="AE9" s="78">
        <f t="shared" si="20"/>
        <v>11319875</v>
      </c>
      <c r="AF9" s="86">
        <f t="shared" si="21"/>
        <v>62037680</v>
      </c>
      <c r="AG9" s="85">
        <f t="shared" si="6"/>
        <v>0</v>
      </c>
      <c r="AH9" s="104">
        <f t="shared" si="22"/>
        <v>120000</v>
      </c>
      <c r="AI9" s="87">
        <f t="shared" si="23"/>
        <v>49376125</v>
      </c>
      <c r="AL9" s="88"/>
      <c r="AM9" s="88"/>
    </row>
    <row r="10" spans="1:43" ht="13" x14ac:dyDescent="0.3">
      <c r="A10" s="83" t="s">
        <v>108</v>
      </c>
      <c r="B10" s="109" t="s">
        <v>119</v>
      </c>
      <c r="C10" s="110"/>
      <c r="D10" s="78">
        <v>29200000</v>
      </c>
      <c r="E10" s="78"/>
      <c r="F10" s="78"/>
      <c r="G10" s="84"/>
      <c r="H10" s="78">
        <v>0</v>
      </c>
      <c r="I10" s="80">
        <f t="shared" si="0"/>
        <v>0</v>
      </c>
      <c r="J10" s="80">
        <f t="shared" si="8"/>
        <v>29200000</v>
      </c>
      <c r="K10" s="80">
        <f t="shared" si="9"/>
        <v>157680</v>
      </c>
      <c r="L10" s="80">
        <f t="shared" si="10"/>
        <v>480000</v>
      </c>
      <c r="M10" s="80">
        <f t="shared" si="11"/>
        <v>130350720</v>
      </c>
      <c r="N10" s="80"/>
      <c r="O10" s="80">
        <f t="shared" si="12"/>
        <v>32200000</v>
      </c>
      <c r="P10" s="80">
        <f t="shared" si="13"/>
        <v>162550720</v>
      </c>
      <c r="Q10" s="80">
        <f>IF(5%*P10&gt;500000*4,500000*4,5%*P10)</f>
        <v>2000000</v>
      </c>
      <c r="R10" s="80">
        <f t="shared" si="14"/>
        <v>584000</v>
      </c>
      <c r="S10" s="80">
        <f t="shared" si="15"/>
        <v>90776</v>
      </c>
      <c r="T10" s="80">
        <f t="shared" si="16"/>
        <v>674776</v>
      </c>
      <c r="U10" s="80">
        <f t="shared" si="17"/>
        <v>2699104</v>
      </c>
      <c r="V10" s="80">
        <f t="shared" si="2"/>
        <v>4699104</v>
      </c>
      <c r="W10" s="80">
        <f t="shared" si="18"/>
        <v>157851616</v>
      </c>
      <c r="X10" s="78">
        <f>W10*12/4</f>
        <v>473554848</v>
      </c>
      <c r="Y10" s="80">
        <v>0</v>
      </c>
      <c r="Z10" s="80">
        <f t="shared" si="3"/>
        <v>473554848</v>
      </c>
      <c r="AA10" s="78">
        <f t="shared" si="4"/>
        <v>63000000</v>
      </c>
      <c r="AB10" s="85">
        <f t="shared" si="5"/>
        <v>410554000</v>
      </c>
      <c r="AC10" s="80">
        <f t="shared" si="19"/>
        <v>71638500</v>
      </c>
      <c r="AD10" s="86">
        <f>AC10*4/12</f>
        <v>23879500</v>
      </c>
      <c r="AE10" s="78">
        <f t="shared" si="20"/>
        <v>3269875</v>
      </c>
      <c r="AF10" s="86">
        <f t="shared" si="21"/>
        <v>29837680</v>
      </c>
      <c r="AG10" s="85">
        <f t="shared" si="6"/>
        <v>0</v>
      </c>
      <c r="AH10" s="104">
        <f t="shared" si="22"/>
        <v>120000</v>
      </c>
      <c r="AI10" s="87">
        <f t="shared" si="23"/>
        <v>25226125</v>
      </c>
      <c r="AL10" s="88"/>
      <c r="AM10" s="88"/>
    </row>
    <row r="11" spans="1:43" ht="13" x14ac:dyDescent="0.3">
      <c r="A11" s="83" t="s">
        <v>109</v>
      </c>
      <c r="B11" s="109" t="s">
        <v>119</v>
      </c>
      <c r="C11" s="110"/>
      <c r="D11" s="78">
        <v>29200000</v>
      </c>
      <c r="E11" s="78"/>
      <c r="F11" s="78"/>
      <c r="G11" s="84"/>
      <c r="H11" s="78">
        <v>0</v>
      </c>
      <c r="I11" s="80">
        <f t="shared" si="0"/>
        <v>0</v>
      </c>
      <c r="J11" s="80">
        <f t="shared" si="8"/>
        <v>29200000</v>
      </c>
      <c r="K11" s="80">
        <f t="shared" si="9"/>
        <v>157680</v>
      </c>
      <c r="L11" s="80">
        <f t="shared" si="10"/>
        <v>480000</v>
      </c>
      <c r="M11" s="80">
        <f t="shared" si="11"/>
        <v>160188400</v>
      </c>
      <c r="N11" s="80"/>
      <c r="O11" s="80">
        <f t="shared" si="12"/>
        <v>32200000</v>
      </c>
      <c r="P11" s="80">
        <f t="shared" si="13"/>
        <v>192388400</v>
      </c>
      <c r="Q11" s="80">
        <f>IF(5%*P11&gt;500000*5,500000*5,5%*P11)</f>
        <v>2500000</v>
      </c>
      <c r="R11" s="80">
        <f t="shared" si="14"/>
        <v>584000</v>
      </c>
      <c r="S11" s="80">
        <f t="shared" si="15"/>
        <v>90776</v>
      </c>
      <c r="T11" s="80">
        <f t="shared" si="16"/>
        <v>674776</v>
      </c>
      <c r="U11" s="80">
        <f t="shared" si="17"/>
        <v>3373880</v>
      </c>
      <c r="V11" s="80">
        <f t="shared" si="2"/>
        <v>5873880</v>
      </c>
      <c r="W11" s="80">
        <f t="shared" si="18"/>
        <v>186514520</v>
      </c>
      <c r="X11" s="78">
        <f>W11*12/5</f>
        <v>447634848</v>
      </c>
      <c r="Y11" s="80">
        <v>0</v>
      </c>
      <c r="Z11" s="80">
        <f t="shared" si="3"/>
        <v>447634848</v>
      </c>
      <c r="AA11" s="78">
        <f t="shared" si="4"/>
        <v>63000000</v>
      </c>
      <c r="AB11" s="85">
        <f t="shared" si="5"/>
        <v>384634000</v>
      </c>
      <c r="AC11" s="80">
        <f t="shared" si="19"/>
        <v>65158500</v>
      </c>
      <c r="AD11" s="86">
        <f>AC11*5/12</f>
        <v>27149375</v>
      </c>
      <c r="AE11" s="78">
        <f t="shared" si="20"/>
        <v>3269875</v>
      </c>
      <c r="AF11" s="86">
        <f t="shared" si="21"/>
        <v>29837680</v>
      </c>
      <c r="AG11" s="85">
        <f t="shared" si="6"/>
        <v>0</v>
      </c>
      <c r="AH11" s="104">
        <f t="shared" si="22"/>
        <v>120000</v>
      </c>
      <c r="AI11" s="87">
        <f t="shared" si="23"/>
        <v>25226125</v>
      </c>
      <c r="AL11" s="88"/>
      <c r="AM11" s="88"/>
      <c r="AO11" s="88"/>
      <c r="AP11" s="88"/>
      <c r="AQ11" s="88"/>
    </row>
    <row r="12" spans="1:43" ht="13" x14ac:dyDescent="0.3">
      <c r="A12" s="83" t="s">
        <v>110</v>
      </c>
      <c r="B12" s="109" t="s">
        <v>119</v>
      </c>
      <c r="C12" s="110"/>
      <c r="D12" s="78">
        <v>29200000</v>
      </c>
      <c r="E12" s="78"/>
      <c r="F12" s="78"/>
      <c r="G12" s="84"/>
      <c r="H12" s="78">
        <v>0</v>
      </c>
      <c r="I12" s="80">
        <f t="shared" si="0"/>
        <v>0</v>
      </c>
      <c r="J12" s="80">
        <f t="shared" si="8"/>
        <v>29200000</v>
      </c>
      <c r="K12" s="80">
        <f t="shared" si="9"/>
        <v>157680</v>
      </c>
      <c r="L12" s="80">
        <f t="shared" si="10"/>
        <v>480000</v>
      </c>
      <c r="M12" s="80">
        <f t="shared" si="11"/>
        <v>190026080</v>
      </c>
      <c r="N12" s="80"/>
      <c r="O12" s="80">
        <f t="shared" si="12"/>
        <v>32200000</v>
      </c>
      <c r="P12" s="80">
        <f t="shared" si="13"/>
        <v>222226080</v>
      </c>
      <c r="Q12" s="80">
        <f>IF(5%*P12&gt;500000*6,500000*6,5%*P12)</f>
        <v>3000000</v>
      </c>
      <c r="R12" s="80">
        <f t="shared" si="14"/>
        <v>584000</v>
      </c>
      <c r="S12" s="80">
        <f t="shared" si="15"/>
        <v>90776</v>
      </c>
      <c r="T12" s="80">
        <f t="shared" si="16"/>
        <v>674776</v>
      </c>
      <c r="U12" s="80">
        <f t="shared" si="17"/>
        <v>4048656</v>
      </c>
      <c r="V12" s="80">
        <f t="shared" si="2"/>
        <v>7048656</v>
      </c>
      <c r="W12" s="80">
        <f t="shared" si="18"/>
        <v>215177424</v>
      </c>
      <c r="X12" s="78">
        <f>W12*12/6</f>
        <v>430354848</v>
      </c>
      <c r="Y12" s="80">
        <v>0</v>
      </c>
      <c r="Z12" s="80">
        <f t="shared" si="3"/>
        <v>430354848</v>
      </c>
      <c r="AA12" s="78">
        <f t="shared" si="4"/>
        <v>63000000</v>
      </c>
      <c r="AB12" s="85">
        <f t="shared" si="5"/>
        <v>367354000</v>
      </c>
      <c r="AC12" s="80">
        <f t="shared" si="19"/>
        <v>60838500</v>
      </c>
      <c r="AD12" s="86">
        <f>AC12*6/12</f>
        <v>30419250</v>
      </c>
      <c r="AE12" s="78">
        <f t="shared" si="20"/>
        <v>3269875</v>
      </c>
      <c r="AF12" s="86">
        <f t="shared" si="21"/>
        <v>29837680</v>
      </c>
      <c r="AG12" s="85">
        <f t="shared" si="6"/>
        <v>0</v>
      </c>
      <c r="AH12" s="104">
        <f t="shared" si="22"/>
        <v>120000</v>
      </c>
      <c r="AI12" s="87">
        <f t="shared" si="23"/>
        <v>25226125</v>
      </c>
      <c r="AL12" s="89"/>
      <c r="AM12" s="88"/>
    </row>
    <row r="13" spans="1:43" ht="13" x14ac:dyDescent="0.3">
      <c r="A13" s="83" t="s">
        <v>111</v>
      </c>
      <c r="B13" s="109" t="s">
        <v>119</v>
      </c>
      <c r="C13" s="110"/>
      <c r="D13" s="78">
        <v>29200000</v>
      </c>
      <c r="E13" s="78"/>
      <c r="F13" s="78"/>
      <c r="G13" s="84"/>
      <c r="H13" s="78">
        <v>0</v>
      </c>
      <c r="I13" s="80">
        <f t="shared" si="0"/>
        <v>0</v>
      </c>
      <c r="J13" s="80">
        <f t="shared" si="8"/>
        <v>29200000</v>
      </c>
      <c r="K13" s="80">
        <f t="shared" si="9"/>
        <v>157680</v>
      </c>
      <c r="L13" s="80">
        <f t="shared" si="10"/>
        <v>480000</v>
      </c>
      <c r="M13" s="80">
        <f t="shared" si="11"/>
        <v>219863760</v>
      </c>
      <c r="N13" s="80"/>
      <c r="O13" s="80">
        <f t="shared" si="12"/>
        <v>32200000</v>
      </c>
      <c r="P13" s="80">
        <f t="shared" si="13"/>
        <v>252063760</v>
      </c>
      <c r="Q13" s="80">
        <f>IF(5%*P13&gt;500000*7,500000*7,5%*P13)</f>
        <v>3500000</v>
      </c>
      <c r="R13" s="80">
        <f t="shared" si="14"/>
        <v>584000</v>
      </c>
      <c r="S13" s="80">
        <f t="shared" si="15"/>
        <v>90776</v>
      </c>
      <c r="T13" s="80">
        <f t="shared" si="16"/>
        <v>674776</v>
      </c>
      <c r="U13" s="80">
        <f t="shared" si="17"/>
        <v>4723432</v>
      </c>
      <c r="V13" s="80">
        <f t="shared" si="2"/>
        <v>8223432</v>
      </c>
      <c r="W13" s="80">
        <f t="shared" si="18"/>
        <v>243840328</v>
      </c>
      <c r="X13" s="78">
        <f>W13*12/7</f>
        <v>418011990.85714287</v>
      </c>
      <c r="Y13" s="80">
        <v>0</v>
      </c>
      <c r="Z13" s="80">
        <f t="shared" si="3"/>
        <v>418011990.85714287</v>
      </c>
      <c r="AA13" s="78">
        <f t="shared" si="4"/>
        <v>63000000</v>
      </c>
      <c r="AB13" s="85">
        <f t="shared" si="5"/>
        <v>355011000</v>
      </c>
      <c r="AC13" s="80">
        <f t="shared" si="19"/>
        <v>57752750</v>
      </c>
      <c r="AD13" s="86">
        <f>AC13*7/12</f>
        <v>33689104.166666664</v>
      </c>
      <c r="AE13" s="78">
        <f t="shared" si="20"/>
        <v>3269854.1666666642</v>
      </c>
      <c r="AF13" s="86">
        <f t="shared" si="21"/>
        <v>29837680</v>
      </c>
      <c r="AG13" s="85">
        <f t="shared" si="6"/>
        <v>0</v>
      </c>
      <c r="AH13" s="104">
        <f t="shared" si="22"/>
        <v>120000</v>
      </c>
      <c r="AI13" s="87">
        <f t="shared" si="23"/>
        <v>25226145.833333336</v>
      </c>
      <c r="AL13" s="89"/>
      <c r="AM13" s="88"/>
    </row>
    <row r="14" spans="1:43" ht="13" x14ac:dyDescent="0.3">
      <c r="A14" s="83" t="s">
        <v>112</v>
      </c>
      <c r="B14" s="109" t="s">
        <v>119</v>
      </c>
      <c r="C14" s="110"/>
      <c r="D14" s="78">
        <v>29200000</v>
      </c>
      <c r="E14" s="78"/>
      <c r="F14" s="78"/>
      <c r="G14" s="84"/>
      <c r="H14" s="78">
        <v>0</v>
      </c>
      <c r="I14" s="80">
        <f t="shared" si="0"/>
        <v>0</v>
      </c>
      <c r="J14" s="80">
        <f t="shared" si="8"/>
        <v>29200000</v>
      </c>
      <c r="K14" s="80">
        <f t="shared" si="9"/>
        <v>157680</v>
      </c>
      <c r="L14" s="80">
        <f t="shared" si="10"/>
        <v>480000</v>
      </c>
      <c r="M14" s="80">
        <f t="shared" si="11"/>
        <v>249701440</v>
      </c>
      <c r="N14" s="80"/>
      <c r="O14" s="80">
        <f t="shared" si="12"/>
        <v>32200000</v>
      </c>
      <c r="P14" s="80">
        <f t="shared" si="13"/>
        <v>281901440</v>
      </c>
      <c r="Q14" s="80">
        <f>IF(5%*P14&gt;500000*8,500000*8,5%*P14)</f>
        <v>4000000</v>
      </c>
      <c r="R14" s="80">
        <f t="shared" si="14"/>
        <v>584000</v>
      </c>
      <c r="S14" s="80">
        <f t="shared" si="15"/>
        <v>90776</v>
      </c>
      <c r="T14" s="80">
        <f t="shared" si="16"/>
        <v>674776</v>
      </c>
      <c r="U14" s="80">
        <f t="shared" si="17"/>
        <v>5398208</v>
      </c>
      <c r="V14" s="80">
        <f t="shared" si="2"/>
        <v>9398208</v>
      </c>
      <c r="W14" s="80">
        <f t="shared" si="18"/>
        <v>272503232</v>
      </c>
      <c r="X14" s="78">
        <f>W14*12/8</f>
        <v>408754848</v>
      </c>
      <c r="Y14" s="80">
        <v>0</v>
      </c>
      <c r="Z14" s="80">
        <f t="shared" si="3"/>
        <v>408754848</v>
      </c>
      <c r="AA14" s="78">
        <f t="shared" si="4"/>
        <v>63000000</v>
      </c>
      <c r="AB14" s="85">
        <f t="shared" si="5"/>
        <v>345754000</v>
      </c>
      <c r="AC14" s="80">
        <f t="shared" si="19"/>
        <v>55438500</v>
      </c>
      <c r="AD14" s="86">
        <f>AC14*8/12</f>
        <v>36959000</v>
      </c>
      <c r="AE14" s="78">
        <f t="shared" si="20"/>
        <v>3269895.8333333358</v>
      </c>
      <c r="AF14" s="86">
        <f t="shared" si="21"/>
        <v>29837680</v>
      </c>
      <c r="AG14" s="85">
        <f t="shared" si="6"/>
        <v>0</v>
      </c>
      <c r="AH14" s="104">
        <f t="shared" si="22"/>
        <v>120000</v>
      </c>
      <c r="AI14" s="87">
        <f t="shared" si="23"/>
        <v>25226104.166666664</v>
      </c>
      <c r="AL14" s="89"/>
      <c r="AM14" s="88"/>
    </row>
    <row r="15" spans="1:43" ht="13" x14ac:dyDescent="0.3">
      <c r="A15" s="83" t="s">
        <v>113</v>
      </c>
      <c r="B15" s="109" t="s">
        <v>119</v>
      </c>
      <c r="C15" s="110"/>
      <c r="D15" s="78">
        <v>29200000</v>
      </c>
      <c r="E15" s="78"/>
      <c r="F15" s="78"/>
      <c r="G15" s="84"/>
      <c r="H15" s="78">
        <v>0</v>
      </c>
      <c r="I15" s="80">
        <f t="shared" si="0"/>
        <v>0</v>
      </c>
      <c r="J15" s="80">
        <f t="shared" si="8"/>
        <v>29200000</v>
      </c>
      <c r="K15" s="80">
        <f t="shared" si="9"/>
        <v>157680</v>
      </c>
      <c r="L15" s="80">
        <f t="shared" si="10"/>
        <v>480000</v>
      </c>
      <c r="M15" s="80">
        <f t="shared" si="11"/>
        <v>279539120</v>
      </c>
      <c r="N15" s="80"/>
      <c r="O15" s="80">
        <f t="shared" si="12"/>
        <v>32200000</v>
      </c>
      <c r="P15" s="80">
        <f t="shared" si="13"/>
        <v>311739120</v>
      </c>
      <c r="Q15" s="80">
        <f>IF(5%*P15&gt;500000*9,500000*9,5%*P15)</f>
        <v>4500000</v>
      </c>
      <c r="R15" s="80">
        <f t="shared" si="14"/>
        <v>584000</v>
      </c>
      <c r="S15" s="80">
        <f t="shared" si="15"/>
        <v>90776</v>
      </c>
      <c r="T15" s="80">
        <f t="shared" si="16"/>
        <v>674776</v>
      </c>
      <c r="U15" s="80">
        <f t="shared" si="17"/>
        <v>6072984</v>
      </c>
      <c r="V15" s="80">
        <f t="shared" si="2"/>
        <v>10572984</v>
      </c>
      <c r="W15" s="80">
        <f t="shared" si="18"/>
        <v>301166136</v>
      </c>
      <c r="X15" s="78">
        <f>W15*12/9</f>
        <v>401554848</v>
      </c>
      <c r="Y15" s="80">
        <v>0</v>
      </c>
      <c r="Z15" s="80">
        <f t="shared" si="3"/>
        <v>401554848</v>
      </c>
      <c r="AA15" s="78">
        <f t="shared" si="4"/>
        <v>63000000</v>
      </c>
      <c r="AB15" s="85">
        <f t="shared" si="5"/>
        <v>338554000</v>
      </c>
      <c r="AC15" s="80">
        <f t="shared" si="19"/>
        <v>53638500</v>
      </c>
      <c r="AD15" s="86">
        <f>AC15*9/12</f>
        <v>40228875</v>
      </c>
      <c r="AE15" s="78">
        <f t="shared" si="20"/>
        <v>3269875</v>
      </c>
      <c r="AF15" s="86">
        <f t="shared" si="21"/>
        <v>29837680</v>
      </c>
      <c r="AG15" s="85">
        <f t="shared" si="6"/>
        <v>0</v>
      </c>
      <c r="AH15" s="104">
        <f t="shared" si="22"/>
        <v>120000</v>
      </c>
      <c r="AI15" s="87">
        <f t="shared" si="23"/>
        <v>25226125</v>
      </c>
    </row>
    <row r="16" spans="1:43" ht="13" x14ac:dyDescent="0.3">
      <c r="A16" s="83" t="s">
        <v>114</v>
      </c>
      <c r="B16" s="109" t="s">
        <v>119</v>
      </c>
      <c r="C16" s="110"/>
      <c r="D16" s="78">
        <v>29200000</v>
      </c>
      <c r="E16" s="78"/>
      <c r="F16" s="78"/>
      <c r="G16" s="84"/>
      <c r="H16" s="78">
        <v>0</v>
      </c>
      <c r="I16" s="80">
        <f t="shared" si="0"/>
        <v>0</v>
      </c>
      <c r="J16" s="80">
        <f t="shared" si="8"/>
        <v>29200000</v>
      </c>
      <c r="K16" s="80">
        <f t="shared" si="9"/>
        <v>157680</v>
      </c>
      <c r="L16" s="80">
        <f t="shared" si="10"/>
        <v>480000</v>
      </c>
      <c r="M16" s="80">
        <f t="shared" si="11"/>
        <v>309376800</v>
      </c>
      <c r="N16" s="80"/>
      <c r="O16" s="80">
        <f t="shared" si="12"/>
        <v>32200000</v>
      </c>
      <c r="P16" s="80">
        <f t="shared" si="13"/>
        <v>341576800</v>
      </c>
      <c r="Q16" s="80">
        <f>IF(5%*P16&gt;500000*10,500000*10,5%*P16)</f>
        <v>5000000</v>
      </c>
      <c r="R16" s="80">
        <f t="shared" si="14"/>
        <v>584000</v>
      </c>
      <c r="S16" s="80">
        <f t="shared" si="15"/>
        <v>90776</v>
      </c>
      <c r="T16" s="80">
        <f t="shared" si="16"/>
        <v>674776</v>
      </c>
      <c r="U16" s="80">
        <f t="shared" si="17"/>
        <v>6747760</v>
      </c>
      <c r="V16" s="80">
        <f t="shared" si="2"/>
        <v>11747760</v>
      </c>
      <c r="W16" s="80">
        <f t="shared" si="18"/>
        <v>329829040</v>
      </c>
      <c r="X16" s="78">
        <f>W16*12/10</f>
        <v>395794848</v>
      </c>
      <c r="Y16" s="80">
        <v>0</v>
      </c>
      <c r="Z16" s="80">
        <f t="shared" si="3"/>
        <v>395794848</v>
      </c>
      <c r="AA16" s="78">
        <f t="shared" si="4"/>
        <v>63000000</v>
      </c>
      <c r="AB16" s="85">
        <f t="shared" si="5"/>
        <v>332794000</v>
      </c>
      <c r="AC16" s="80">
        <f t="shared" si="19"/>
        <v>52198500</v>
      </c>
      <c r="AD16" s="86">
        <f>AC16*10/12</f>
        <v>43498750</v>
      </c>
      <c r="AE16" s="78">
        <f t="shared" si="20"/>
        <v>3269875</v>
      </c>
      <c r="AF16" s="86">
        <f t="shared" si="21"/>
        <v>29837680</v>
      </c>
      <c r="AG16" s="85">
        <f t="shared" si="6"/>
        <v>0</v>
      </c>
      <c r="AH16" s="104">
        <f t="shared" si="22"/>
        <v>120000</v>
      </c>
      <c r="AI16" s="87">
        <f t="shared" si="23"/>
        <v>25226125</v>
      </c>
    </row>
    <row r="17" spans="1:39" ht="13" x14ac:dyDescent="0.3">
      <c r="A17" s="83" t="s">
        <v>115</v>
      </c>
      <c r="B17" s="109" t="s">
        <v>119</v>
      </c>
      <c r="C17" s="110"/>
      <c r="D17" s="78">
        <v>29200000</v>
      </c>
      <c r="E17" s="78"/>
      <c r="F17" s="78"/>
      <c r="G17" s="84"/>
      <c r="H17" s="78">
        <v>0</v>
      </c>
      <c r="I17" s="80">
        <f t="shared" si="0"/>
        <v>0</v>
      </c>
      <c r="J17" s="80">
        <f t="shared" si="8"/>
        <v>29200000</v>
      </c>
      <c r="K17" s="80">
        <f t="shared" si="9"/>
        <v>157680</v>
      </c>
      <c r="L17" s="80">
        <f t="shared" si="10"/>
        <v>480000</v>
      </c>
      <c r="M17" s="80">
        <f t="shared" si="11"/>
        <v>339214480</v>
      </c>
      <c r="N17" s="80"/>
      <c r="O17" s="80">
        <f t="shared" si="12"/>
        <v>32200000</v>
      </c>
      <c r="P17" s="80">
        <f t="shared" si="13"/>
        <v>371414480</v>
      </c>
      <c r="Q17" s="80">
        <f>IF(5%*P17&gt;500000*11,500000*11,5%*P17)</f>
        <v>5500000</v>
      </c>
      <c r="R17" s="80">
        <f t="shared" si="14"/>
        <v>584000</v>
      </c>
      <c r="S17" s="80">
        <f t="shared" si="15"/>
        <v>90776</v>
      </c>
      <c r="T17" s="80">
        <f t="shared" si="16"/>
        <v>674776</v>
      </c>
      <c r="U17" s="80">
        <f t="shared" si="17"/>
        <v>7422536</v>
      </c>
      <c r="V17" s="80">
        <f t="shared" si="2"/>
        <v>12922536</v>
      </c>
      <c r="W17" s="80">
        <f t="shared" si="18"/>
        <v>358491944</v>
      </c>
      <c r="X17" s="78">
        <f>W17*12/11</f>
        <v>391082120.72727275</v>
      </c>
      <c r="Y17" s="80">
        <v>0</v>
      </c>
      <c r="Z17" s="80">
        <f t="shared" si="3"/>
        <v>391082120.72727275</v>
      </c>
      <c r="AA17" s="78">
        <f t="shared" si="4"/>
        <v>63000000</v>
      </c>
      <c r="AB17" s="85">
        <f t="shared" si="5"/>
        <v>328082000</v>
      </c>
      <c r="AC17" s="80">
        <f t="shared" si="19"/>
        <v>51020500</v>
      </c>
      <c r="AD17" s="86">
        <f>AC17*11/12</f>
        <v>46768791.666666664</v>
      </c>
      <c r="AE17" s="78">
        <f t="shared" si="20"/>
        <v>3270041.6666666642</v>
      </c>
      <c r="AF17" s="86">
        <f t="shared" si="21"/>
        <v>29837680</v>
      </c>
      <c r="AG17" s="85">
        <f t="shared" si="6"/>
        <v>0</v>
      </c>
      <c r="AH17" s="104">
        <f t="shared" si="22"/>
        <v>120000</v>
      </c>
      <c r="AI17" s="87">
        <f t="shared" si="23"/>
        <v>25225958.333333336</v>
      </c>
    </row>
    <row r="18" spans="1:39" ht="13" x14ac:dyDescent="0.3">
      <c r="A18" s="90" t="s">
        <v>116</v>
      </c>
      <c r="B18" s="109" t="s">
        <v>119</v>
      </c>
      <c r="C18" s="110"/>
      <c r="D18" s="78">
        <v>29200000</v>
      </c>
      <c r="E18" s="78"/>
      <c r="F18" s="78"/>
      <c r="G18" s="84"/>
      <c r="H18" s="78">
        <v>0</v>
      </c>
      <c r="I18" s="80">
        <f t="shared" si="0"/>
        <v>0</v>
      </c>
      <c r="J18" s="80">
        <f t="shared" si="8"/>
        <v>29200000</v>
      </c>
      <c r="K18" s="80">
        <f t="shared" si="9"/>
        <v>157680</v>
      </c>
      <c r="L18" s="80">
        <f t="shared" si="10"/>
        <v>480000</v>
      </c>
      <c r="M18" s="80">
        <f t="shared" si="11"/>
        <v>369052160</v>
      </c>
      <c r="N18" s="80"/>
      <c r="O18" s="80">
        <f t="shared" si="12"/>
        <v>32200000</v>
      </c>
      <c r="P18" s="80">
        <f t="shared" si="13"/>
        <v>401252160</v>
      </c>
      <c r="Q18" s="80">
        <f>IF(5%*P18&gt;500000*12,500000*12,5%*P18)</f>
        <v>6000000</v>
      </c>
      <c r="R18" s="80">
        <f t="shared" si="14"/>
        <v>584000</v>
      </c>
      <c r="S18" s="80">
        <f t="shared" si="15"/>
        <v>90776</v>
      </c>
      <c r="T18" s="80">
        <f t="shared" si="16"/>
        <v>674776</v>
      </c>
      <c r="U18" s="80">
        <f t="shared" si="17"/>
        <v>8097312</v>
      </c>
      <c r="V18" s="80">
        <f t="shared" si="2"/>
        <v>14097312</v>
      </c>
      <c r="W18" s="80">
        <f t="shared" si="18"/>
        <v>387154848</v>
      </c>
      <c r="X18" s="78">
        <f>W18*12/12</f>
        <v>387154848</v>
      </c>
      <c r="Y18" s="80">
        <v>0</v>
      </c>
      <c r="Z18" s="80">
        <f t="shared" si="3"/>
        <v>387154848</v>
      </c>
      <c r="AA18" s="78">
        <f t="shared" si="4"/>
        <v>63000000</v>
      </c>
      <c r="AB18" s="85">
        <f t="shared" si="5"/>
        <v>324154000</v>
      </c>
      <c r="AC18" s="80">
        <f t="shared" si="19"/>
        <v>50038500</v>
      </c>
      <c r="AD18" s="86">
        <f>AC18*12/12</f>
        <v>50038500</v>
      </c>
      <c r="AE18" s="78">
        <f t="shared" si="20"/>
        <v>3269708.3333333358</v>
      </c>
      <c r="AF18" s="86">
        <f t="shared" si="21"/>
        <v>29837680</v>
      </c>
      <c r="AG18" s="85">
        <f t="shared" si="6"/>
        <v>0</v>
      </c>
      <c r="AH18" s="104">
        <f t="shared" si="22"/>
        <v>120000</v>
      </c>
      <c r="AI18" s="87">
        <f t="shared" si="23"/>
        <v>25226291.666666664</v>
      </c>
    </row>
    <row r="19" spans="1:39" ht="13.5" thickBot="1" x14ac:dyDescent="0.35">
      <c r="A19" s="91" t="s">
        <v>117</v>
      </c>
      <c r="B19" s="91"/>
      <c r="C19" s="91"/>
      <c r="D19" s="92">
        <f t="shared" ref="D19:J19" si="24">SUM(D7:D18)</f>
        <v>350400000</v>
      </c>
      <c r="E19" s="92">
        <f t="shared" si="24"/>
        <v>0</v>
      </c>
      <c r="F19" s="92">
        <f t="shared" si="24"/>
        <v>2000000</v>
      </c>
      <c r="G19" s="92">
        <f t="shared" si="24"/>
        <v>9000000</v>
      </c>
      <c r="H19" s="92">
        <f t="shared" si="24"/>
        <v>0</v>
      </c>
      <c r="I19" s="92">
        <f t="shared" si="24"/>
        <v>11000000</v>
      </c>
      <c r="J19" s="92">
        <f t="shared" si="24"/>
        <v>361400000</v>
      </c>
      <c r="K19" s="92">
        <f>SUM(K7:K18)</f>
        <v>1892160</v>
      </c>
      <c r="L19" s="92">
        <f>SUM(L7:L18)</f>
        <v>5760000</v>
      </c>
      <c r="M19" s="92">
        <f>+D19+I19+K19+L19</f>
        <v>369052160</v>
      </c>
      <c r="N19" s="92">
        <f>SUM(N7:N18)</f>
        <v>32200000</v>
      </c>
      <c r="O19" s="92">
        <f>+O18</f>
        <v>32200000</v>
      </c>
      <c r="P19" s="92">
        <f>+M19+O19</f>
        <v>401252160</v>
      </c>
      <c r="Q19" s="93">
        <f>Q18</f>
        <v>6000000</v>
      </c>
      <c r="R19" s="92">
        <f>SUM(R7:R18)</f>
        <v>7008000</v>
      </c>
      <c r="S19" s="92">
        <f>SUM(S7:S18)</f>
        <v>1089312</v>
      </c>
      <c r="T19" s="92">
        <f>SUM(T7:T18)</f>
        <v>8097312</v>
      </c>
      <c r="U19" s="93">
        <f>+U18</f>
        <v>8097312</v>
      </c>
      <c r="V19" s="93">
        <f t="shared" si="2"/>
        <v>14097312</v>
      </c>
      <c r="W19" s="93">
        <f>P19-V19</f>
        <v>387154848</v>
      </c>
      <c r="X19" s="93">
        <f>X18</f>
        <v>387154848</v>
      </c>
      <c r="Y19" s="93">
        <f>+Y18</f>
        <v>0</v>
      </c>
      <c r="Z19" s="93">
        <f>SUM(X19:Y19)</f>
        <v>387154848</v>
      </c>
      <c r="AA19" s="93">
        <f>AA18</f>
        <v>63000000</v>
      </c>
      <c r="AB19" s="94">
        <f>ROUNDDOWN(Z19-AA19,-3)</f>
        <v>324154000</v>
      </c>
      <c r="AC19" s="92">
        <f>IF(AB19&lt;=0,0,IF(AB19&lt;=50000000,0.05*AB19,IF(AB19&lt;=250000000,2500000+(AB19-50000000)*0.15,IF(AB19&lt;=500000000,32500000+(AB19-250000000)*0.25,IF(AB19&gt;500000000,95000000+(AB19-500000000)*0.3)))))</f>
        <v>51038500</v>
      </c>
      <c r="AD19" s="94">
        <f>AC19*12/12</f>
        <v>51038500</v>
      </c>
      <c r="AE19" s="93">
        <f>SUM(AE7:AE18)</f>
        <v>50038500</v>
      </c>
      <c r="AF19" s="95">
        <f>SUM(AF7:AF18)</f>
        <v>401252160</v>
      </c>
      <c r="AG19" s="94">
        <f>SUM(AG7:AG18)</f>
        <v>0</v>
      </c>
      <c r="AH19" s="94"/>
      <c r="AI19" s="96"/>
      <c r="AL19" s="89"/>
      <c r="AM19" s="88"/>
    </row>
    <row r="20" spans="1:39" ht="13" thickTop="1" x14ac:dyDescent="0.25">
      <c r="A20" s="97"/>
      <c r="B20" s="97"/>
      <c r="C20" s="97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9"/>
      <c r="AC20" s="98"/>
      <c r="AD20" s="100"/>
      <c r="AE20" s="98"/>
      <c r="AF20" s="101"/>
      <c r="AG20" s="100"/>
      <c r="AH20" s="100"/>
      <c r="AI20" s="101"/>
    </row>
    <row r="21" spans="1:39" x14ac:dyDescent="0.25">
      <c r="AD21" s="102"/>
      <c r="AE21" s="68">
        <v>46538500</v>
      </c>
      <c r="AF21" s="103"/>
    </row>
  </sheetData>
  <mergeCells count="23">
    <mergeCell ref="D4:D5"/>
    <mergeCell ref="A4:A5"/>
    <mergeCell ref="B4:B5"/>
    <mergeCell ref="C4:C5"/>
    <mergeCell ref="W4:W5"/>
    <mergeCell ref="X4:AC4"/>
    <mergeCell ref="E4:H4"/>
    <mergeCell ref="I4:I5"/>
    <mergeCell ref="K4:L4"/>
    <mergeCell ref="M4:M5"/>
    <mergeCell ref="N4:N5"/>
    <mergeCell ref="O4:O5"/>
    <mergeCell ref="J4:J5"/>
    <mergeCell ref="R4:S4"/>
    <mergeCell ref="P4:P5"/>
    <mergeCell ref="Q4:Q5"/>
    <mergeCell ref="U4:U5"/>
    <mergeCell ref="V4:V5"/>
    <mergeCell ref="AD4:AD5"/>
    <mergeCell ref="AE4:AE5"/>
    <mergeCell ref="AF4:AF5"/>
    <mergeCell ref="AG4:AG5"/>
    <mergeCell ref="AI4:AI5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F17" sqref="F17"/>
    </sheetView>
  </sheetViews>
  <sheetFormatPr defaultRowHeight="14.5" x14ac:dyDescent="0.35"/>
  <cols>
    <col min="1" max="1" width="12.1796875" style="166" customWidth="1"/>
    <col min="2" max="2" width="14.36328125" style="166" customWidth="1"/>
    <col min="3" max="5" width="13.7265625" style="166" customWidth="1"/>
    <col min="6" max="6" width="20.08984375" style="166" customWidth="1"/>
    <col min="7" max="8" width="13.7265625" style="166" customWidth="1"/>
    <col min="9" max="9" width="45.81640625" style="166" customWidth="1"/>
    <col min="10" max="16384" width="8.7265625" style="166"/>
  </cols>
  <sheetData>
    <row r="1" spans="1:8" ht="0.75" customHeight="1" x14ac:dyDescent="0.35"/>
    <row r="2" spans="1:8" ht="15.25" customHeight="1" x14ac:dyDescent="0.35">
      <c r="A2" s="166" t="s">
        <v>135</v>
      </c>
    </row>
    <row r="3" spans="1:8" ht="27.25" customHeight="1" x14ac:dyDescent="0.35">
      <c r="A3" s="167"/>
    </row>
    <row r="4" spans="1:8" ht="25.5" customHeight="1" x14ac:dyDescent="0.35">
      <c r="A4" s="168" t="s">
        <v>136</v>
      </c>
      <c r="B4" s="168" t="s">
        <v>137</v>
      </c>
      <c r="C4" s="168" t="s">
        <v>138</v>
      </c>
      <c r="D4" s="168" t="s">
        <v>139</v>
      </c>
      <c r="E4" s="168" t="s">
        <v>140</v>
      </c>
      <c r="F4" s="168" t="s">
        <v>141</v>
      </c>
      <c r="G4" s="168" t="s">
        <v>142</v>
      </c>
      <c r="H4" s="168" t="s">
        <v>27</v>
      </c>
    </row>
    <row r="5" spans="1:8" ht="14.5" customHeight="1" x14ac:dyDescent="0.35">
      <c r="A5" s="169" t="s">
        <v>143</v>
      </c>
      <c r="B5" s="169" t="s">
        <v>143</v>
      </c>
      <c r="C5" s="170" t="s">
        <v>144</v>
      </c>
      <c r="D5" s="170" t="s">
        <v>145</v>
      </c>
      <c r="E5" s="170" t="s">
        <v>146</v>
      </c>
      <c r="F5" s="169" t="s">
        <v>118</v>
      </c>
      <c r="G5" s="171">
        <v>44545</v>
      </c>
      <c r="H5" s="169" t="s">
        <v>147</v>
      </c>
    </row>
    <row r="6" spans="1:8" ht="14.5" customHeight="1" x14ac:dyDescent="0.35">
      <c r="A6" s="169" t="s">
        <v>143</v>
      </c>
      <c r="B6" s="169" t="s">
        <v>143</v>
      </c>
      <c r="C6" s="170" t="s">
        <v>144</v>
      </c>
      <c r="D6" s="170" t="s">
        <v>148</v>
      </c>
      <c r="E6" s="170" t="s">
        <v>149</v>
      </c>
      <c r="F6" s="169" t="s">
        <v>150</v>
      </c>
      <c r="G6" s="171">
        <v>44347</v>
      </c>
      <c r="H6" s="169" t="s">
        <v>151</v>
      </c>
    </row>
    <row r="7" spans="1:8" ht="14.5" customHeight="1" x14ac:dyDescent="0.35">
      <c r="A7" s="169" t="s">
        <v>143</v>
      </c>
      <c r="B7" s="169" t="s">
        <v>143</v>
      </c>
      <c r="C7" s="170" t="s">
        <v>144</v>
      </c>
      <c r="D7" s="170" t="s">
        <v>152</v>
      </c>
      <c r="E7" s="170" t="s">
        <v>153</v>
      </c>
      <c r="F7" s="169" t="s">
        <v>154</v>
      </c>
      <c r="G7" s="171">
        <v>44718</v>
      </c>
      <c r="H7" s="169" t="s">
        <v>151</v>
      </c>
    </row>
    <row r="8" spans="1:8" ht="14.5" customHeight="1" x14ac:dyDescent="0.35">
      <c r="A8" s="169" t="s">
        <v>143</v>
      </c>
      <c r="B8" s="169" t="s">
        <v>143</v>
      </c>
      <c r="C8" s="170" t="s">
        <v>144</v>
      </c>
      <c r="D8" s="170" t="s">
        <v>152</v>
      </c>
      <c r="E8" s="170" t="s">
        <v>155</v>
      </c>
      <c r="F8" s="169" t="s">
        <v>156</v>
      </c>
      <c r="G8" s="171">
        <v>44774</v>
      </c>
      <c r="H8" s="169" t="s">
        <v>151</v>
      </c>
    </row>
    <row r="9" spans="1:8" ht="14.5" customHeight="1" x14ac:dyDescent="0.35">
      <c r="A9" s="169" t="s">
        <v>143</v>
      </c>
      <c r="B9" s="169" t="s">
        <v>143</v>
      </c>
      <c r="C9" s="170" t="s">
        <v>144</v>
      </c>
      <c r="D9" s="172" t="s">
        <v>148</v>
      </c>
      <c r="E9" s="170" t="s">
        <v>157</v>
      </c>
      <c r="F9" s="169" t="s">
        <v>158</v>
      </c>
      <c r="G9" s="171">
        <v>44837</v>
      </c>
      <c r="H9" s="169" t="s">
        <v>151</v>
      </c>
    </row>
    <row r="10" spans="1:8" ht="14.5" customHeight="1" x14ac:dyDescent="0.35">
      <c r="A10" s="169" t="s">
        <v>143</v>
      </c>
      <c r="B10" s="169" t="s">
        <v>143</v>
      </c>
      <c r="C10" s="170" t="s">
        <v>144</v>
      </c>
      <c r="D10" s="170" t="s">
        <v>159</v>
      </c>
      <c r="E10" s="170" t="s">
        <v>160</v>
      </c>
      <c r="F10" s="169" t="s">
        <v>161</v>
      </c>
      <c r="G10" s="171">
        <v>44655</v>
      </c>
      <c r="H10" s="169" t="s">
        <v>162</v>
      </c>
    </row>
    <row r="11" spans="1:8" ht="14.5" customHeight="1" x14ac:dyDescent="0.35">
      <c r="A11" s="169" t="s">
        <v>143</v>
      </c>
      <c r="B11" s="169" t="s">
        <v>143</v>
      </c>
      <c r="C11" s="170" t="s">
        <v>144</v>
      </c>
      <c r="D11" s="170" t="s">
        <v>159</v>
      </c>
      <c r="E11" s="170" t="s">
        <v>163</v>
      </c>
      <c r="F11" s="169" t="s">
        <v>164</v>
      </c>
      <c r="G11" s="171">
        <v>40547</v>
      </c>
      <c r="H11" s="169" t="s">
        <v>165</v>
      </c>
    </row>
    <row r="12" spans="1:8" ht="14.5" customHeight="1" x14ac:dyDescent="0.35">
      <c r="A12" s="169" t="s">
        <v>143</v>
      </c>
      <c r="B12" s="169" t="s">
        <v>143</v>
      </c>
      <c r="C12" s="170" t="s">
        <v>144</v>
      </c>
      <c r="D12" s="170" t="s">
        <v>145</v>
      </c>
      <c r="E12" s="170" t="s">
        <v>166</v>
      </c>
      <c r="F12" s="169" t="s">
        <v>167</v>
      </c>
      <c r="G12" s="171">
        <v>40863</v>
      </c>
      <c r="H12" s="169" t="s">
        <v>165</v>
      </c>
    </row>
    <row r="13" spans="1:8" ht="14.5" customHeight="1" x14ac:dyDescent="0.35">
      <c r="A13" s="169" t="s">
        <v>143</v>
      </c>
      <c r="B13" s="169" t="s">
        <v>143</v>
      </c>
      <c r="C13" s="170" t="s">
        <v>144</v>
      </c>
      <c r="D13" s="170" t="s">
        <v>159</v>
      </c>
      <c r="E13" s="170" t="s">
        <v>168</v>
      </c>
      <c r="F13" s="169" t="s">
        <v>169</v>
      </c>
      <c r="G13" s="171">
        <v>41701</v>
      </c>
      <c r="H13" s="169" t="s">
        <v>165</v>
      </c>
    </row>
    <row r="14" spans="1:8" ht="14.5" customHeight="1" x14ac:dyDescent="0.35">
      <c r="A14" s="169" t="s">
        <v>143</v>
      </c>
      <c r="B14" s="169" t="s">
        <v>143</v>
      </c>
      <c r="C14" s="170" t="s">
        <v>144</v>
      </c>
      <c r="D14" s="170" t="s">
        <v>170</v>
      </c>
      <c r="E14" s="170" t="s">
        <v>171</v>
      </c>
      <c r="F14" s="169" t="s">
        <v>172</v>
      </c>
      <c r="G14" s="171">
        <v>42222</v>
      </c>
      <c r="H14" s="169" t="s">
        <v>165</v>
      </c>
    </row>
    <row r="15" spans="1:8" ht="14.5" customHeight="1" x14ac:dyDescent="0.35">
      <c r="A15" s="169" t="s">
        <v>143</v>
      </c>
      <c r="B15" s="169" t="s">
        <v>143</v>
      </c>
      <c r="C15" s="170" t="s">
        <v>144</v>
      </c>
      <c r="D15" s="170" t="s">
        <v>145</v>
      </c>
      <c r="E15" s="170" t="s">
        <v>173</v>
      </c>
      <c r="F15" s="169" t="s">
        <v>174</v>
      </c>
      <c r="G15" s="171">
        <v>44750</v>
      </c>
      <c r="H15" s="169" t="s">
        <v>165</v>
      </c>
    </row>
    <row r="16" spans="1:8" ht="14.5" customHeight="1" x14ac:dyDescent="0.35">
      <c r="A16" s="169" t="s">
        <v>143</v>
      </c>
      <c r="B16" s="169" t="s">
        <v>143</v>
      </c>
      <c r="C16" s="170" t="s">
        <v>144</v>
      </c>
      <c r="D16" s="172" t="s">
        <v>175</v>
      </c>
      <c r="E16" s="170" t="s">
        <v>176</v>
      </c>
      <c r="F16" s="169" t="s">
        <v>177</v>
      </c>
      <c r="G16" s="171">
        <v>44851</v>
      </c>
      <c r="H16" s="169" t="s">
        <v>165</v>
      </c>
    </row>
    <row r="17" spans="1:8" ht="14.5" customHeight="1" x14ac:dyDescent="0.35">
      <c r="A17" s="169" t="s">
        <v>143</v>
      </c>
      <c r="B17" s="169" t="s">
        <v>143</v>
      </c>
      <c r="C17" s="170" t="s">
        <v>144</v>
      </c>
      <c r="D17" s="170" t="s">
        <v>145</v>
      </c>
      <c r="E17" s="170" t="s">
        <v>178</v>
      </c>
      <c r="F17" s="169" t="s">
        <v>179</v>
      </c>
      <c r="G17" s="171">
        <v>39295</v>
      </c>
      <c r="H17" s="169" t="s">
        <v>180</v>
      </c>
    </row>
    <row r="18" spans="1:8" ht="14.5" customHeight="1" x14ac:dyDescent="0.35">
      <c r="A18" s="169" t="s">
        <v>143</v>
      </c>
      <c r="B18" s="169" t="s">
        <v>143</v>
      </c>
      <c r="C18" s="170" t="s">
        <v>144</v>
      </c>
      <c r="D18" s="170" t="s">
        <v>170</v>
      </c>
      <c r="E18" s="170" t="s">
        <v>181</v>
      </c>
      <c r="F18" s="169" t="s">
        <v>182</v>
      </c>
      <c r="G18" s="171">
        <v>43052</v>
      </c>
      <c r="H18" s="169" t="s">
        <v>180</v>
      </c>
    </row>
    <row r="19" spans="1:8" ht="14.5" customHeight="1" x14ac:dyDescent="0.35">
      <c r="A19" s="169" t="s">
        <v>143</v>
      </c>
      <c r="B19" s="169" t="s">
        <v>143</v>
      </c>
      <c r="C19" s="170" t="s">
        <v>144</v>
      </c>
      <c r="D19" s="170" t="s">
        <v>148</v>
      </c>
      <c r="E19" s="170" t="s">
        <v>183</v>
      </c>
      <c r="F19" s="169" t="s">
        <v>184</v>
      </c>
      <c r="G19" s="171">
        <v>44501</v>
      </c>
      <c r="H19" s="169" t="s">
        <v>185</v>
      </c>
    </row>
    <row r="20" spans="1:8" ht="14.5" customHeight="1" x14ac:dyDescent="0.35">
      <c r="A20" s="169" t="s">
        <v>143</v>
      </c>
      <c r="B20" s="169" t="s">
        <v>143</v>
      </c>
      <c r="C20" s="170" t="s">
        <v>144</v>
      </c>
      <c r="D20" s="170" t="s">
        <v>170</v>
      </c>
      <c r="E20" s="170" t="s">
        <v>186</v>
      </c>
      <c r="F20" s="169" t="s">
        <v>187</v>
      </c>
      <c r="G20" s="171">
        <v>39601</v>
      </c>
      <c r="H20" s="169" t="s">
        <v>188</v>
      </c>
    </row>
    <row r="21" spans="1:8" ht="14.5" customHeight="1" x14ac:dyDescent="0.35">
      <c r="A21" s="169" t="s">
        <v>143</v>
      </c>
      <c r="B21" s="169" t="s">
        <v>143</v>
      </c>
      <c r="C21" s="170" t="s">
        <v>144</v>
      </c>
      <c r="D21" s="170" t="s">
        <v>159</v>
      </c>
      <c r="E21" s="170" t="s">
        <v>189</v>
      </c>
      <c r="F21" s="169" t="s">
        <v>190</v>
      </c>
      <c r="G21" s="171">
        <v>42009</v>
      </c>
      <c r="H21" s="169" t="s">
        <v>191</v>
      </c>
    </row>
    <row r="22" spans="1:8" ht="14.5" customHeight="1" x14ac:dyDescent="0.35">
      <c r="A22" s="169" t="s">
        <v>143</v>
      </c>
      <c r="B22" s="169" t="s">
        <v>143</v>
      </c>
      <c r="C22" s="170" t="s">
        <v>144</v>
      </c>
      <c r="D22" s="170" t="s">
        <v>175</v>
      </c>
      <c r="E22" s="170" t="s">
        <v>192</v>
      </c>
      <c r="F22" s="169" t="s">
        <v>193</v>
      </c>
      <c r="G22" s="171">
        <v>40522</v>
      </c>
      <c r="H22" s="169" t="s">
        <v>194</v>
      </c>
    </row>
    <row r="23" spans="1:8" ht="14.5" customHeight="1" x14ac:dyDescent="0.35">
      <c r="A23" s="169" t="s">
        <v>143</v>
      </c>
      <c r="B23" s="169" t="s">
        <v>143</v>
      </c>
      <c r="C23" s="170" t="s">
        <v>144</v>
      </c>
      <c r="D23" s="170" t="s">
        <v>152</v>
      </c>
      <c r="E23" s="170" t="s">
        <v>195</v>
      </c>
      <c r="F23" s="169" t="s">
        <v>196</v>
      </c>
      <c r="G23" s="171">
        <v>40567</v>
      </c>
      <c r="H23" s="169" t="s">
        <v>197</v>
      </c>
    </row>
    <row r="24" spans="1:8" ht="14.5" customHeight="1" x14ac:dyDescent="0.35">
      <c r="A24" s="169" t="s">
        <v>143</v>
      </c>
      <c r="B24" s="169" t="s">
        <v>143</v>
      </c>
      <c r="C24" s="170" t="s">
        <v>144</v>
      </c>
      <c r="D24" s="170" t="s">
        <v>170</v>
      </c>
      <c r="E24" s="170" t="s">
        <v>198</v>
      </c>
      <c r="F24" s="169" t="s">
        <v>199</v>
      </c>
      <c r="G24" s="171">
        <v>40725</v>
      </c>
      <c r="H24" s="169" t="s">
        <v>197</v>
      </c>
    </row>
    <row r="25" spans="1:8" ht="14.5" customHeight="1" x14ac:dyDescent="0.35">
      <c r="A25" s="169" t="s">
        <v>143</v>
      </c>
      <c r="B25" s="169" t="s">
        <v>143</v>
      </c>
      <c r="C25" s="170" t="s">
        <v>144</v>
      </c>
      <c r="D25" s="170" t="s">
        <v>159</v>
      </c>
      <c r="E25" s="170" t="s">
        <v>200</v>
      </c>
      <c r="F25" s="169" t="s">
        <v>201</v>
      </c>
      <c r="G25" s="171">
        <v>44644</v>
      </c>
      <c r="H25" s="169" t="s">
        <v>197</v>
      </c>
    </row>
    <row r="26" spans="1:8" ht="14.5" customHeight="1" x14ac:dyDescent="0.35">
      <c r="A26" s="169" t="s">
        <v>143</v>
      </c>
      <c r="B26" s="169" t="s">
        <v>143</v>
      </c>
      <c r="C26" s="170" t="s">
        <v>144</v>
      </c>
      <c r="D26" s="170" t="s">
        <v>170</v>
      </c>
      <c r="E26" s="170" t="s">
        <v>202</v>
      </c>
      <c r="F26" s="169" t="s">
        <v>203</v>
      </c>
      <c r="G26" s="171">
        <v>40695</v>
      </c>
      <c r="H26" s="169" t="s">
        <v>204</v>
      </c>
    </row>
    <row r="27" spans="1:8" ht="14.5" customHeight="1" x14ac:dyDescent="0.35">
      <c r="A27" s="169" t="s">
        <v>143</v>
      </c>
      <c r="B27" s="169" t="s">
        <v>143</v>
      </c>
      <c r="C27" s="170" t="s">
        <v>144</v>
      </c>
      <c r="D27" s="170" t="s">
        <v>170</v>
      </c>
      <c r="E27" s="170" t="s">
        <v>205</v>
      </c>
      <c r="F27" s="169" t="s">
        <v>206</v>
      </c>
      <c r="G27" s="171">
        <v>42143</v>
      </c>
      <c r="H27" s="169" t="s">
        <v>204</v>
      </c>
    </row>
    <row r="28" spans="1:8" ht="14.5" customHeight="1" x14ac:dyDescent="0.35">
      <c r="A28" s="169" t="s">
        <v>143</v>
      </c>
      <c r="B28" s="169" t="s">
        <v>143</v>
      </c>
      <c r="C28" s="170" t="s">
        <v>144</v>
      </c>
      <c r="D28" s="170" t="s">
        <v>175</v>
      </c>
      <c r="E28" s="170" t="s">
        <v>207</v>
      </c>
      <c r="F28" s="169" t="s">
        <v>208</v>
      </c>
      <c r="G28" s="171">
        <v>43346</v>
      </c>
      <c r="H28" s="169" t="s">
        <v>209</v>
      </c>
    </row>
    <row r="29" spans="1:8" ht="14.5" customHeight="1" x14ac:dyDescent="0.35">
      <c r="A29" s="169" t="s">
        <v>143</v>
      </c>
      <c r="B29" s="169" t="s">
        <v>143</v>
      </c>
      <c r="C29" s="170" t="s">
        <v>144</v>
      </c>
      <c r="D29" s="170" t="s">
        <v>175</v>
      </c>
      <c r="E29" s="170" t="s">
        <v>210</v>
      </c>
      <c r="F29" s="169" t="s">
        <v>211</v>
      </c>
      <c r="G29" s="171">
        <v>40863</v>
      </c>
      <c r="H29" s="169" t="s">
        <v>212</v>
      </c>
    </row>
    <row r="30" spans="1:8" ht="14.5" customHeight="1" x14ac:dyDescent="0.35">
      <c r="A30" s="169" t="s">
        <v>143</v>
      </c>
      <c r="B30" s="169" t="s">
        <v>143</v>
      </c>
      <c r="C30" s="170" t="s">
        <v>144</v>
      </c>
      <c r="D30" s="170" t="s">
        <v>175</v>
      </c>
      <c r="E30" s="170" t="s">
        <v>213</v>
      </c>
      <c r="F30" s="169" t="s">
        <v>214</v>
      </c>
      <c r="G30" s="171">
        <v>41822</v>
      </c>
      <c r="H30" s="169" t="s">
        <v>215</v>
      </c>
    </row>
    <row r="31" spans="1:8" ht="14.5" customHeight="1" x14ac:dyDescent="0.35">
      <c r="A31" s="169" t="s">
        <v>143</v>
      </c>
      <c r="B31" s="169" t="s">
        <v>143</v>
      </c>
      <c r="C31" s="170" t="s">
        <v>144</v>
      </c>
      <c r="D31" s="170" t="s">
        <v>145</v>
      </c>
      <c r="E31" s="170" t="s">
        <v>216</v>
      </c>
      <c r="F31" s="169" t="s">
        <v>217</v>
      </c>
      <c r="G31" s="171">
        <v>39063</v>
      </c>
      <c r="H31" s="169" t="s">
        <v>218</v>
      </c>
    </row>
    <row r="32" spans="1:8" ht="14.5" customHeight="1" x14ac:dyDescent="0.35">
      <c r="A32" s="169" t="s">
        <v>143</v>
      </c>
      <c r="B32" s="169" t="s">
        <v>143</v>
      </c>
      <c r="C32" s="170" t="s">
        <v>144</v>
      </c>
      <c r="D32" s="170" t="s">
        <v>145</v>
      </c>
      <c r="E32" s="170" t="s">
        <v>219</v>
      </c>
      <c r="F32" s="169" t="s">
        <v>220</v>
      </c>
      <c r="G32" s="171">
        <v>39650</v>
      </c>
      <c r="H32" s="169" t="s">
        <v>218</v>
      </c>
    </row>
    <row r="33" spans="1:8" ht="14.5" customHeight="1" x14ac:dyDescent="0.35">
      <c r="A33" s="169" t="s">
        <v>143</v>
      </c>
      <c r="B33" s="169" t="s">
        <v>143</v>
      </c>
      <c r="C33" s="170" t="s">
        <v>144</v>
      </c>
      <c r="D33" s="170" t="s">
        <v>145</v>
      </c>
      <c r="E33" s="170" t="s">
        <v>221</v>
      </c>
      <c r="F33" s="169" t="s">
        <v>222</v>
      </c>
      <c r="G33" s="171">
        <v>40544</v>
      </c>
      <c r="H33" s="169" t="s">
        <v>218</v>
      </c>
    </row>
    <row r="34" spans="1:8" ht="14.5" customHeight="1" x14ac:dyDescent="0.35">
      <c r="A34" s="169" t="s">
        <v>143</v>
      </c>
      <c r="B34" s="169" t="s">
        <v>143</v>
      </c>
      <c r="C34" s="170" t="s">
        <v>144</v>
      </c>
      <c r="D34" s="170" t="s">
        <v>145</v>
      </c>
      <c r="E34" s="170" t="s">
        <v>223</v>
      </c>
      <c r="F34" s="169" t="s">
        <v>224</v>
      </c>
      <c r="G34" s="171">
        <v>40820</v>
      </c>
      <c r="H34" s="169" t="s">
        <v>218</v>
      </c>
    </row>
    <row r="35" spans="1:8" ht="14.5" customHeight="1" x14ac:dyDescent="0.35">
      <c r="A35" s="169" t="s">
        <v>143</v>
      </c>
      <c r="B35" s="169" t="s">
        <v>143</v>
      </c>
      <c r="C35" s="170" t="s">
        <v>144</v>
      </c>
      <c r="D35" s="170" t="s">
        <v>145</v>
      </c>
      <c r="E35" s="170" t="s">
        <v>225</v>
      </c>
      <c r="F35" s="169" t="s">
        <v>226</v>
      </c>
      <c r="G35" s="171">
        <v>43710</v>
      </c>
      <c r="H35" s="169" t="s">
        <v>218</v>
      </c>
    </row>
    <row r="36" spans="1:8" ht="14.5" customHeight="1" x14ac:dyDescent="0.35">
      <c r="A36" s="169" t="s">
        <v>143</v>
      </c>
      <c r="B36" s="169" t="s">
        <v>143</v>
      </c>
      <c r="C36" s="170" t="s">
        <v>144</v>
      </c>
      <c r="D36" s="170" t="s">
        <v>145</v>
      </c>
      <c r="E36" s="170" t="s">
        <v>227</v>
      </c>
      <c r="F36" s="169" t="s">
        <v>228</v>
      </c>
      <c r="G36" s="171">
        <v>44690</v>
      </c>
      <c r="H36" s="169" t="s">
        <v>218</v>
      </c>
    </row>
    <row r="37" spans="1:8" ht="14.5" customHeight="1" x14ac:dyDescent="0.35">
      <c r="A37" s="169" t="s">
        <v>143</v>
      </c>
      <c r="B37" s="169" t="s">
        <v>143</v>
      </c>
      <c r="C37" s="170" t="s">
        <v>144</v>
      </c>
      <c r="D37" s="170" t="s">
        <v>175</v>
      </c>
      <c r="E37" s="170" t="s">
        <v>229</v>
      </c>
      <c r="F37" s="169" t="s">
        <v>230</v>
      </c>
      <c r="G37" s="171">
        <v>44501</v>
      </c>
      <c r="H37" s="169" t="s">
        <v>231</v>
      </c>
    </row>
    <row r="38" spans="1:8" ht="14.5" customHeight="1" x14ac:dyDescent="0.35">
      <c r="A38" s="169" t="s">
        <v>143</v>
      </c>
      <c r="B38" s="169" t="s">
        <v>143</v>
      </c>
      <c r="C38" s="170" t="s">
        <v>144</v>
      </c>
      <c r="D38" s="172" t="s">
        <v>170</v>
      </c>
      <c r="E38" s="170" t="s">
        <v>232</v>
      </c>
      <c r="F38" s="169" t="s">
        <v>233</v>
      </c>
      <c r="G38" s="171">
        <v>44753</v>
      </c>
      <c r="H38" s="169" t="s">
        <v>234</v>
      </c>
    </row>
    <row r="39" spans="1:8" ht="14.5" customHeight="1" x14ac:dyDescent="0.35">
      <c r="A39" s="169" t="s">
        <v>143</v>
      </c>
      <c r="B39" s="169" t="s">
        <v>143</v>
      </c>
      <c r="C39" s="170" t="s">
        <v>144</v>
      </c>
      <c r="D39" s="172" t="s">
        <v>148</v>
      </c>
      <c r="E39" s="170" t="s">
        <v>235</v>
      </c>
      <c r="F39" s="169" t="s">
        <v>236</v>
      </c>
      <c r="G39" s="171">
        <v>44858</v>
      </c>
      <c r="H39" s="169" t="s">
        <v>237</v>
      </c>
    </row>
    <row r="40" spans="1:8" ht="14.5" customHeight="1" x14ac:dyDescent="0.35">
      <c r="A40" s="169" t="s">
        <v>143</v>
      </c>
      <c r="B40" s="169" t="s">
        <v>143</v>
      </c>
      <c r="C40" s="170" t="s">
        <v>144</v>
      </c>
      <c r="D40" s="170" t="s">
        <v>170</v>
      </c>
      <c r="E40" s="170" t="s">
        <v>238</v>
      </c>
      <c r="F40" s="169" t="s">
        <v>239</v>
      </c>
      <c r="G40" s="171">
        <v>44137</v>
      </c>
      <c r="H40" s="169" t="s">
        <v>240</v>
      </c>
    </row>
    <row r="41" spans="1:8" ht="14.5" customHeight="1" x14ac:dyDescent="0.35">
      <c r="A41" s="169" t="s">
        <v>143</v>
      </c>
      <c r="B41" s="169" t="s">
        <v>143</v>
      </c>
      <c r="C41" s="170" t="s">
        <v>144</v>
      </c>
      <c r="D41" s="170" t="s">
        <v>159</v>
      </c>
      <c r="E41" s="170" t="s">
        <v>241</v>
      </c>
      <c r="F41" s="169" t="s">
        <v>242</v>
      </c>
      <c r="G41" s="171">
        <v>43496</v>
      </c>
      <c r="H41" s="169" t="s">
        <v>243</v>
      </c>
    </row>
    <row r="42" spans="1:8" ht="14.5" customHeight="1" x14ac:dyDescent="0.35">
      <c r="A42" s="169" t="s">
        <v>143</v>
      </c>
      <c r="B42" s="169" t="s">
        <v>143</v>
      </c>
      <c r="C42" s="170" t="s">
        <v>144</v>
      </c>
      <c r="D42" s="170" t="s">
        <v>159</v>
      </c>
      <c r="E42" s="170" t="s">
        <v>244</v>
      </c>
      <c r="F42" s="169" t="s">
        <v>245</v>
      </c>
      <c r="G42" s="171">
        <v>44075</v>
      </c>
      <c r="H42" s="169" t="s">
        <v>243</v>
      </c>
    </row>
    <row r="43" spans="1:8" ht="14.5" customHeight="1" x14ac:dyDescent="0.35">
      <c r="A43" s="169" t="s">
        <v>143</v>
      </c>
      <c r="B43" s="169" t="s">
        <v>143</v>
      </c>
      <c r="C43" s="170" t="s">
        <v>144</v>
      </c>
      <c r="D43" s="170" t="s">
        <v>148</v>
      </c>
      <c r="E43" s="170" t="s">
        <v>246</v>
      </c>
      <c r="F43" s="169" t="s">
        <v>247</v>
      </c>
      <c r="G43" s="171">
        <v>42945</v>
      </c>
      <c r="H43" s="169" t="s">
        <v>248</v>
      </c>
    </row>
    <row r="44" spans="1:8" ht="14.5" customHeight="1" x14ac:dyDescent="0.35">
      <c r="A44" s="169" t="s">
        <v>143</v>
      </c>
      <c r="B44" s="169" t="s">
        <v>143</v>
      </c>
      <c r="C44" s="170" t="s">
        <v>144</v>
      </c>
      <c r="D44" s="170" t="s">
        <v>170</v>
      </c>
      <c r="E44" s="170" t="s">
        <v>249</v>
      </c>
      <c r="F44" s="169" t="s">
        <v>250</v>
      </c>
      <c r="G44" s="171">
        <v>42522</v>
      </c>
      <c r="H44" s="169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SLIP</vt:lpstr>
      <vt:lpstr>REPORT GAJI</vt:lpstr>
      <vt:lpstr>BPJS HEALTH REPORT</vt:lpstr>
      <vt:lpstr>BPJS TK REPORT</vt:lpstr>
      <vt:lpstr>REPORT TAX PER EMPL</vt:lpstr>
      <vt:lpstr>DIV CODE N GRADE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</dc:creator>
  <cp:lastModifiedBy>BIA</cp:lastModifiedBy>
  <cp:lastPrinted>2022-11-01T02:02:05Z</cp:lastPrinted>
  <dcterms:created xsi:type="dcterms:W3CDTF">2022-10-26T11:47:49Z</dcterms:created>
  <dcterms:modified xsi:type="dcterms:W3CDTF">2022-11-28T02:28:49Z</dcterms:modified>
</cp:coreProperties>
</file>