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D:\IKA\CS TASK\IMFI\support pajak 2021\PROOFING CABANG\employee meninggal\Pajak bulan contoh 1 employee\"/>
    </mc:Choice>
  </mc:AlternateContent>
  <xr:revisionPtr revIDLastSave="0" documentId="13_ncr:1_{DA61EBF8-9580-43C9-A11E-B00D592C24F6}" xr6:coauthVersionLast="47" xr6:coauthVersionMax="47" xr10:uidLastSave="{00000000-0000-0000-0000-000000000000}"/>
  <bookViews>
    <workbookView xWindow="-120" yWindow="-120" windowWidth="20730" windowHeight="11160" tabRatio="972" firstSheet="3" activeTab="4" xr2:uid="{00000000-000D-0000-FFFF-FFFF00000000}"/>
  </bookViews>
  <sheets>
    <sheet name="Tax Prove Jan" sheetId="20" r:id="rId1"/>
    <sheet name="Tax Prove Feb" sheetId="21" r:id="rId2"/>
    <sheet name="Tax Prove Mar" sheetId="22" r:id="rId3"/>
    <sheet name="Tax Prove Apr" sheetId="23" r:id="rId4"/>
    <sheet name="Tax Prove Mei" sheetId="24" r:id="rId5"/>
    <sheet name="Tax Prove Jun" sheetId="25" r:id="rId6"/>
    <sheet name="Tax Prove Jul" sheetId="26" r:id="rId7"/>
    <sheet name="Tax Prove Agt" sheetId="27" r:id="rId8"/>
    <sheet name="Tax Prove Sep" sheetId="28" r:id="rId9"/>
    <sheet name="Tax Prove Okt" sheetId="29" r:id="rId10"/>
    <sheet name="Tax Prove Nov" sheetId="30" r:id="rId11"/>
    <sheet name="Tax Prove Des" sheetId="31" r:id="rId12"/>
    <sheet name="Annual Tax" sheetId="32" r:id="rId13"/>
  </sheets>
  <definedNames>
    <definedName name="_xlnm._FilterDatabase" localSheetId="0" hidden="1">'Tax Prove Jan'!$A$27:$F$40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0" i="24" l="1"/>
  <c r="B6" i="24"/>
  <c r="A25" i="24"/>
  <c r="C18" i="23"/>
  <c r="B6" i="29"/>
  <c r="I14" i="21" l="1"/>
  <c r="I14" i="22"/>
  <c r="I14" i="23"/>
  <c r="I14" i="24"/>
  <c r="I14" i="25"/>
  <c r="I14" i="26"/>
  <c r="H24" i="27"/>
  <c r="H24" i="28"/>
  <c r="H24" i="29"/>
  <c r="H24" i="30"/>
  <c r="H24" i="31"/>
  <c r="E18" i="32" l="1"/>
  <c r="D23" i="31"/>
  <c r="D23" i="30"/>
  <c r="D23" i="29"/>
  <c r="D23" i="28"/>
  <c r="D23" i="27"/>
  <c r="D25" i="26"/>
  <c r="D25" i="25"/>
  <c r="D25" i="24"/>
  <c r="D26" i="23"/>
  <c r="D26" i="22"/>
  <c r="D25" i="21"/>
  <c r="G14" i="32" l="1"/>
  <c r="G13" i="32"/>
  <c r="G12" i="32"/>
  <c r="G11" i="32"/>
  <c r="G9" i="32"/>
  <c r="G8" i="32"/>
  <c r="G7" i="32"/>
  <c r="G6" i="32"/>
  <c r="G5" i="32"/>
  <c r="G4" i="32"/>
  <c r="G3" i="32"/>
  <c r="A17" i="21" l="1"/>
  <c r="C17" i="21"/>
  <c r="D17" i="21"/>
  <c r="D4" i="32"/>
  <c r="A17" i="20"/>
  <c r="B3" i="32" s="1"/>
  <c r="C17" i="20"/>
  <c r="D17" i="20"/>
  <c r="I14" i="20"/>
  <c r="D3" i="32" s="1"/>
  <c r="B6" i="21"/>
  <c r="B17" i="21"/>
  <c r="E17" i="21"/>
  <c r="F17" i="21"/>
  <c r="A18" i="23"/>
  <c r="D18" i="23"/>
  <c r="D6" i="32"/>
  <c r="A18" i="22"/>
  <c r="C18" i="22"/>
  <c r="D18" i="22"/>
  <c r="D5" i="32"/>
  <c r="B6" i="23"/>
  <c r="B18" i="23"/>
  <c r="E18" i="23"/>
  <c r="F18" i="23"/>
  <c r="B6" i="22"/>
  <c r="B18" i="22"/>
  <c r="E18" i="22"/>
  <c r="F18" i="22"/>
  <c r="B17" i="20"/>
  <c r="B21" i="20" s="1"/>
  <c r="C3" i="32" s="1"/>
  <c r="E17" i="20"/>
  <c r="F17" i="20"/>
  <c r="B6" i="20"/>
  <c r="C34" i="20"/>
  <c r="C49" i="20"/>
  <c r="B17" i="24"/>
  <c r="E17" i="24"/>
  <c r="F17" i="24"/>
  <c r="I40" i="20"/>
  <c r="J41" i="20" s="1"/>
  <c r="B17" i="25"/>
  <c r="E17" i="25"/>
  <c r="F17" i="25"/>
  <c r="A17" i="25"/>
  <c r="C17" i="25"/>
  <c r="A21" i="25" s="1"/>
  <c r="D17" i="25"/>
  <c r="D8" i="32"/>
  <c r="C49" i="26"/>
  <c r="C34" i="26"/>
  <c r="F17" i="26"/>
  <c r="E17" i="26"/>
  <c r="D17" i="26"/>
  <c r="C17" i="26"/>
  <c r="A17" i="26"/>
  <c r="B17" i="26"/>
  <c r="D9" i="32"/>
  <c r="C49" i="25"/>
  <c r="C34" i="25"/>
  <c r="C49" i="24"/>
  <c r="C34" i="24"/>
  <c r="D17" i="24"/>
  <c r="C17" i="24"/>
  <c r="A17" i="24"/>
  <c r="D7" i="32"/>
  <c r="C50" i="23"/>
  <c r="C35" i="23"/>
  <c r="B21" i="26"/>
  <c r="C50" i="22"/>
  <c r="C35" i="22"/>
  <c r="C49" i="21"/>
  <c r="C34" i="21"/>
  <c r="A16" i="28"/>
  <c r="C16" i="28"/>
  <c r="D16" i="28"/>
  <c r="D11" i="32"/>
  <c r="A16" i="27"/>
  <c r="C16" i="27"/>
  <c r="D16" i="27"/>
  <c r="D10" i="32"/>
  <c r="B6" i="28"/>
  <c r="B16" i="27"/>
  <c r="H27" i="27" s="1"/>
  <c r="G10" i="32" s="1"/>
  <c r="E16" i="27"/>
  <c r="F16" i="27"/>
  <c r="C32" i="28"/>
  <c r="C46" i="28"/>
  <c r="B6" i="27"/>
  <c r="C32" i="27"/>
  <c r="C46" i="27"/>
  <c r="B6" i="25"/>
  <c r="B6" i="26"/>
  <c r="C46" i="31"/>
  <c r="C46" i="30"/>
  <c r="C46" i="29"/>
  <c r="B16" i="31"/>
  <c r="B16" i="30"/>
  <c r="B16" i="29"/>
  <c r="B16" i="28"/>
  <c r="A16" i="31"/>
  <c r="A16" i="30"/>
  <c r="A16" i="29"/>
  <c r="E15" i="32"/>
  <c r="E16" i="30"/>
  <c r="F16" i="30"/>
  <c r="C16" i="30"/>
  <c r="D16" i="30"/>
  <c r="D13" i="32"/>
  <c r="C32" i="31"/>
  <c r="E16" i="29"/>
  <c r="F16" i="29"/>
  <c r="C16" i="29"/>
  <c r="D16" i="29"/>
  <c r="D12" i="32"/>
  <c r="E16" i="28"/>
  <c r="F16" i="28"/>
  <c r="D14" i="32"/>
  <c r="F16" i="31"/>
  <c r="E16" i="31"/>
  <c r="D16" i="31"/>
  <c r="C16" i="31"/>
  <c r="B6" i="31"/>
  <c r="C32" i="30"/>
  <c r="B6" i="30"/>
  <c r="C32" i="29"/>
  <c r="B22" i="23" l="1"/>
  <c r="C6" i="32" s="1"/>
  <c r="B22" i="22"/>
  <c r="E22" i="22" s="1"/>
  <c r="A22" i="22"/>
  <c r="F5" i="32" s="1"/>
  <c r="A20" i="30"/>
  <c r="H25" i="30" s="1"/>
  <c r="A20" i="27"/>
  <c r="A20" i="28"/>
  <c r="H26" i="28" s="1"/>
  <c r="F11" i="32" s="1"/>
  <c r="B20" i="31"/>
  <c r="E20" i="31" s="1"/>
  <c r="A21" i="24"/>
  <c r="F7" i="32" s="1"/>
  <c r="B21" i="24"/>
  <c r="C7" i="32" s="1"/>
  <c r="B21" i="21"/>
  <c r="C4" i="32" s="1"/>
  <c r="B20" i="30"/>
  <c r="A21" i="26"/>
  <c r="I16" i="26" s="1"/>
  <c r="A22" i="23"/>
  <c r="F6" i="32" s="1"/>
  <c r="A21" i="21"/>
  <c r="B4" i="32" s="1"/>
  <c r="E21" i="26"/>
  <c r="C9" i="32"/>
  <c r="A20" i="31"/>
  <c r="H26" i="31" s="1"/>
  <c r="A20" i="29"/>
  <c r="I16" i="25"/>
  <c r="F8" i="32" s="1"/>
  <c r="B8" i="32"/>
  <c r="B14" i="32"/>
  <c r="C13" i="32"/>
  <c r="E20" i="30"/>
  <c r="L30" i="31" s="1"/>
  <c r="B11" i="32"/>
  <c r="D15" i="32"/>
  <c r="A21" i="20"/>
  <c r="C21" i="20" s="1"/>
  <c r="E21" i="20"/>
  <c r="B20" i="29"/>
  <c r="B20" i="28"/>
  <c r="C11" i="32" s="1"/>
  <c r="G15" i="32"/>
  <c r="B20" i="27"/>
  <c r="C10" i="32" s="1"/>
  <c r="B21" i="25"/>
  <c r="H26" i="30" l="1"/>
  <c r="F13" i="32" s="1"/>
  <c r="C20" i="30"/>
  <c r="B13" i="32"/>
  <c r="C21" i="26"/>
  <c r="D21" i="25"/>
  <c r="E21" i="24"/>
  <c r="C21" i="24"/>
  <c r="D21" i="24"/>
  <c r="B7" i="32"/>
  <c r="E22" i="23"/>
  <c r="L23" i="31" s="1"/>
  <c r="B6" i="32"/>
  <c r="B5" i="32"/>
  <c r="C22" i="22"/>
  <c r="C5" i="32"/>
  <c r="D22" i="22"/>
  <c r="K22" i="29" s="1"/>
  <c r="F4" i="32"/>
  <c r="D21" i="21"/>
  <c r="K21" i="31" s="1"/>
  <c r="E21" i="21"/>
  <c r="M22" i="24" s="1"/>
  <c r="C21" i="21"/>
  <c r="B12" i="32"/>
  <c r="H26" i="29"/>
  <c r="D20" i="29" s="1"/>
  <c r="C14" i="32"/>
  <c r="D22" i="23"/>
  <c r="K23" i="28" s="1"/>
  <c r="B10" i="32"/>
  <c r="H26" i="27"/>
  <c r="D20" i="27" s="1"/>
  <c r="K27" i="28" s="1"/>
  <c r="F3" i="32"/>
  <c r="C20" i="31"/>
  <c r="C22" i="23"/>
  <c r="B9" i="32"/>
  <c r="L22" i="28"/>
  <c r="L22" i="27"/>
  <c r="L22" i="29"/>
  <c r="L22" i="31"/>
  <c r="L22" i="30"/>
  <c r="M23" i="25"/>
  <c r="M23" i="26"/>
  <c r="M24" i="23"/>
  <c r="M23" i="24"/>
  <c r="E21" i="25"/>
  <c r="C8" i="32"/>
  <c r="C21" i="25"/>
  <c r="L26" i="28"/>
  <c r="L26" i="31"/>
  <c r="L26" i="27"/>
  <c r="L26" i="29"/>
  <c r="L26" i="30"/>
  <c r="D20" i="30"/>
  <c r="K30" i="31" s="1"/>
  <c r="D20" i="28"/>
  <c r="K28" i="30" s="1"/>
  <c r="D21" i="26"/>
  <c r="F9" i="32"/>
  <c r="K25" i="28"/>
  <c r="K25" i="31"/>
  <c r="K25" i="29"/>
  <c r="K25" i="30"/>
  <c r="K25" i="27"/>
  <c r="D20" i="31"/>
  <c r="F14" i="32"/>
  <c r="E20" i="29"/>
  <c r="C12" i="32"/>
  <c r="M21" i="25"/>
  <c r="M22" i="23"/>
  <c r="L20" i="29"/>
  <c r="M21" i="26"/>
  <c r="B25" i="20"/>
  <c r="M21" i="24"/>
  <c r="L20" i="31"/>
  <c r="L20" i="27"/>
  <c r="M22" i="22"/>
  <c r="L20" i="30"/>
  <c r="M21" i="21"/>
  <c r="M34" i="21" s="1"/>
  <c r="L20" i="28"/>
  <c r="L29" i="30"/>
  <c r="L29" i="31"/>
  <c r="C20" i="29"/>
  <c r="E20" i="28"/>
  <c r="C20" i="28"/>
  <c r="E20" i="27"/>
  <c r="C20" i="27"/>
  <c r="M26" i="26"/>
  <c r="L26" i="26"/>
  <c r="F10" i="32" l="1"/>
  <c r="M25" i="25"/>
  <c r="B25" i="24"/>
  <c r="K24" i="29"/>
  <c r="M25" i="26"/>
  <c r="L24" i="29"/>
  <c r="L24" i="30"/>
  <c r="L24" i="31"/>
  <c r="L24" i="27"/>
  <c r="L24" i="28"/>
  <c r="L25" i="26"/>
  <c r="K24" i="27"/>
  <c r="K24" i="28"/>
  <c r="L25" i="25"/>
  <c r="K24" i="30"/>
  <c r="K24" i="31"/>
  <c r="B15" i="32"/>
  <c r="M24" i="25"/>
  <c r="L23" i="29"/>
  <c r="L23" i="28"/>
  <c r="M24" i="26"/>
  <c r="L23" i="30"/>
  <c r="L23" i="27"/>
  <c r="M24" i="24"/>
  <c r="M34" i="24" s="1"/>
  <c r="L24" i="26"/>
  <c r="K23" i="29"/>
  <c r="L23" i="26"/>
  <c r="C15" i="32"/>
  <c r="C18" i="32" s="1"/>
  <c r="L24" i="23"/>
  <c r="L23" i="25"/>
  <c r="L23" i="24"/>
  <c r="F23" i="22"/>
  <c r="K22" i="30"/>
  <c r="K22" i="31"/>
  <c r="K22" i="28"/>
  <c r="K22" i="27"/>
  <c r="L21" i="29"/>
  <c r="L21" i="31"/>
  <c r="M22" i="25"/>
  <c r="L21" i="28"/>
  <c r="B25" i="21"/>
  <c r="M23" i="23"/>
  <c r="M35" i="23" s="1"/>
  <c r="B26" i="23" s="1"/>
  <c r="M22" i="26"/>
  <c r="L21" i="27"/>
  <c r="M23" i="22"/>
  <c r="M35" i="22" s="1"/>
  <c r="B26" i="22" s="1"/>
  <c r="L23" i="22"/>
  <c r="L21" i="30"/>
  <c r="K21" i="28"/>
  <c r="L22" i="24"/>
  <c r="K21" i="27"/>
  <c r="L23" i="23"/>
  <c r="L22" i="26"/>
  <c r="L22" i="25"/>
  <c r="K21" i="30"/>
  <c r="K21" i="29"/>
  <c r="K23" i="27"/>
  <c r="K23" i="30"/>
  <c r="D21" i="20"/>
  <c r="L24" i="25"/>
  <c r="K23" i="31"/>
  <c r="L24" i="24"/>
  <c r="M34" i="25"/>
  <c r="B25" i="25" s="1"/>
  <c r="K28" i="29"/>
  <c r="K28" i="31"/>
  <c r="K27" i="29"/>
  <c r="K27" i="30"/>
  <c r="K27" i="31"/>
  <c r="L25" i="31"/>
  <c r="L25" i="29"/>
  <c r="L25" i="27"/>
  <c r="L25" i="30"/>
  <c r="L25" i="28"/>
  <c r="F12" i="32"/>
  <c r="F15" i="32" s="1"/>
  <c r="K26" i="31"/>
  <c r="K26" i="29"/>
  <c r="K26" i="27"/>
  <c r="K26" i="30"/>
  <c r="K26" i="28"/>
  <c r="K29" i="31"/>
  <c r="K29" i="30"/>
  <c r="M34" i="26"/>
  <c r="B25" i="26" s="1"/>
  <c r="L28" i="30"/>
  <c r="L28" i="29"/>
  <c r="L28" i="31"/>
  <c r="L27" i="28"/>
  <c r="L27" i="29"/>
  <c r="L27" i="30"/>
  <c r="L27" i="31"/>
  <c r="L32" i="28" l="1"/>
  <c r="B23" i="28" s="1"/>
  <c r="B18" i="32"/>
  <c r="D18" i="32" s="1"/>
  <c r="F18" i="32" s="1"/>
  <c r="F22" i="32" s="1"/>
  <c r="F23" i="32" s="1"/>
  <c r="F24" i="32" s="1"/>
  <c r="B29" i="32" s="1"/>
  <c r="D29" i="32" s="1"/>
  <c r="L32" i="27"/>
  <c r="B23" i="27" s="1"/>
  <c r="K20" i="31"/>
  <c r="K32" i="31" s="1"/>
  <c r="A23" i="31" s="1"/>
  <c r="L21" i="21"/>
  <c r="L34" i="21" s="1"/>
  <c r="A25" i="21" s="1"/>
  <c r="C25" i="21" s="1"/>
  <c r="E25" i="21" s="1"/>
  <c r="F25" i="21" s="1"/>
  <c r="F30" i="21" s="1"/>
  <c r="K20" i="27"/>
  <c r="K32" i="27" s="1"/>
  <c r="A23" i="27" s="1"/>
  <c r="K20" i="28"/>
  <c r="K32" i="28" s="1"/>
  <c r="A23" i="28" s="1"/>
  <c r="L22" i="23"/>
  <c r="L35" i="23" s="1"/>
  <c r="A26" i="23" s="1"/>
  <c r="C26" i="23" s="1"/>
  <c r="K20" i="29"/>
  <c r="K32" i="29" s="1"/>
  <c r="A23" i="29" s="1"/>
  <c r="K20" i="30"/>
  <c r="K32" i="30" s="1"/>
  <c r="A23" i="30" s="1"/>
  <c r="L21" i="24"/>
  <c r="L34" i="24" s="1"/>
  <c r="C25" i="24" s="1"/>
  <c r="E25" i="24" s="1"/>
  <c r="F25" i="24" s="1"/>
  <c r="A25" i="20"/>
  <c r="C25" i="20" s="1"/>
  <c r="E25" i="20" s="1"/>
  <c r="L21" i="26"/>
  <c r="L34" i="26" s="1"/>
  <c r="A25" i="26" s="1"/>
  <c r="C25" i="26" s="1"/>
  <c r="E25" i="26" s="1"/>
  <c r="L22" i="22"/>
  <c r="L35" i="22" s="1"/>
  <c r="A26" i="22" s="1"/>
  <c r="C26" i="22" s="1"/>
  <c r="L21" i="25"/>
  <c r="L34" i="25" s="1"/>
  <c r="A25" i="25" s="1"/>
  <c r="C25" i="25" s="1"/>
  <c r="E25" i="25" s="1"/>
  <c r="F25" i="20"/>
  <c r="F30" i="20" s="1"/>
  <c r="L32" i="31"/>
  <c r="B23" i="31" s="1"/>
  <c r="L32" i="30"/>
  <c r="B23" i="30" s="1"/>
  <c r="F28" i="20"/>
  <c r="F29" i="20" s="1"/>
  <c r="L32" i="29"/>
  <c r="B23" i="29" s="1"/>
  <c r="C23" i="28" l="1"/>
  <c r="E23" i="28" s="1"/>
  <c r="F23" i="28" s="1"/>
  <c r="F26" i="28" s="1"/>
  <c r="F27" i="28" s="1"/>
  <c r="F28" i="28" s="1"/>
  <c r="A41" i="28" s="1"/>
  <c r="C41" i="28" s="1"/>
  <c r="E26" i="22"/>
  <c r="F26" i="22" s="1"/>
  <c r="G18" i="32"/>
  <c r="G22" i="32" s="1"/>
  <c r="G23" i="32" s="1"/>
  <c r="G24" i="32" s="1"/>
  <c r="C29" i="32" s="1"/>
  <c r="E29" i="32" s="1"/>
  <c r="C23" i="27"/>
  <c r="E23" i="27" s="1"/>
  <c r="E26" i="27" s="1"/>
  <c r="E27" i="27" s="1"/>
  <c r="E28" i="27" s="1"/>
  <c r="A27" i="27" s="1"/>
  <c r="C27" i="27" s="1"/>
  <c r="C23" i="31"/>
  <c r="E23" i="31" s="1"/>
  <c r="F23" i="31" s="1"/>
  <c r="F26" i="31" s="1"/>
  <c r="F27" i="31" s="1"/>
  <c r="F28" i="31" s="1"/>
  <c r="A41" i="31" s="1"/>
  <c r="C41" i="31" s="1"/>
  <c r="E31" i="22"/>
  <c r="F28" i="21"/>
  <c r="F29" i="21" s="1"/>
  <c r="E28" i="25"/>
  <c r="E29" i="25" s="1"/>
  <c r="F25" i="25"/>
  <c r="F30" i="25" s="1"/>
  <c r="A44" i="25" s="1"/>
  <c r="E28" i="24"/>
  <c r="E29" i="24" s="1"/>
  <c r="E30" i="24"/>
  <c r="A29" i="24" s="1"/>
  <c r="C29" i="24" s="1"/>
  <c r="E28" i="26"/>
  <c r="E29" i="26" s="1"/>
  <c r="E30" i="26"/>
  <c r="A29" i="26" s="1"/>
  <c r="C29" i="26" s="1"/>
  <c r="F25" i="26"/>
  <c r="F30" i="26" s="1"/>
  <c r="A44" i="26" s="1"/>
  <c r="C44" i="26" s="1"/>
  <c r="D27" i="23"/>
  <c r="E26" i="23"/>
  <c r="E29" i="23" s="1"/>
  <c r="E30" i="23" s="1"/>
  <c r="E28" i="21"/>
  <c r="E29" i="21" s="1"/>
  <c r="E28" i="20"/>
  <c r="E29" i="20" s="1"/>
  <c r="E30" i="20"/>
  <c r="E30" i="25"/>
  <c r="A29" i="25" s="1"/>
  <c r="C29" i="25" s="1"/>
  <c r="E30" i="21"/>
  <c r="A29" i="21" s="1"/>
  <c r="C23" i="29"/>
  <c r="E23" i="29" s="1"/>
  <c r="F23" i="29" s="1"/>
  <c r="F26" i="29" s="1"/>
  <c r="F27" i="29" s="1"/>
  <c r="F28" i="29" s="1"/>
  <c r="A41" i="29" s="1"/>
  <c r="A44" i="20"/>
  <c r="A45" i="20" s="1"/>
  <c r="A46" i="20" s="1"/>
  <c r="C23" i="30"/>
  <c r="E23" i="30" s="1"/>
  <c r="F23" i="30" s="1"/>
  <c r="F26" i="30" s="1"/>
  <c r="F27" i="30" s="1"/>
  <c r="F28" i="30" s="1"/>
  <c r="A41" i="30" s="1"/>
  <c r="C41" i="30" s="1"/>
  <c r="A44" i="21"/>
  <c r="F28" i="24"/>
  <c r="F29" i="24" s="1"/>
  <c r="F30" i="24"/>
  <c r="C29" i="21"/>
  <c r="B30" i="32"/>
  <c r="E26" i="28" l="1"/>
  <c r="E27" i="28" s="1"/>
  <c r="E28" i="28" s="1"/>
  <c r="A27" i="28" s="1"/>
  <c r="C27" i="28" s="1"/>
  <c r="C30" i="32"/>
  <c r="E30" i="32" s="1"/>
  <c r="E33" i="32" s="1"/>
  <c r="E29" i="22"/>
  <c r="E30" i="22" s="1"/>
  <c r="F31" i="22"/>
  <c r="A45" i="22" s="1"/>
  <c r="C45" i="22" s="1"/>
  <c r="F29" i="22"/>
  <c r="F30" i="22" s="1"/>
  <c r="F23" i="27"/>
  <c r="F26" i="27" s="1"/>
  <c r="F27" i="27" s="1"/>
  <c r="F28" i="27" s="1"/>
  <c r="A41" i="27" s="1"/>
  <c r="C41" i="27" s="1"/>
  <c r="E26" i="31"/>
  <c r="E27" i="31" s="1"/>
  <c r="E28" i="31" s="1"/>
  <c r="A27" i="31" s="1"/>
  <c r="C27" i="31" s="1"/>
  <c r="A30" i="22"/>
  <c r="A31" i="22" s="1"/>
  <c r="E26" i="29"/>
  <c r="E27" i="29" s="1"/>
  <c r="E28" i="29" s="1"/>
  <c r="A27" i="29" s="1"/>
  <c r="C27" i="29" s="1"/>
  <c r="F28" i="26"/>
  <c r="F29" i="26" s="1"/>
  <c r="A30" i="25"/>
  <c r="C30" i="25" s="1"/>
  <c r="E31" i="23"/>
  <c r="A30" i="23" s="1"/>
  <c r="C30" i="23" s="1"/>
  <c r="E26" i="30"/>
  <c r="E27" i="30" s="1"/>
  <c r="E28" i="30" s="1"/>
  <c r="A27" i="30" s="1"/>
  <c r="C27" i="30" s="1"/>
  <c r="F28" i="25"/>
  <c r="F29" i="25" s="1"/>
  <c r="C44" i="20"/>
  <c r="A30" i="21"/>
  <c r="C30" i="21" s="1"/>
  <c r="F26" i="23"/>
  <c r="F29" i="23" s="1"/>
  <c r="F30" i="23" s="1"/>
  <c r="A29" i="20"/>
  <c r="C29" i="20" s="1"/>
  <c r="K26" i="20"/>
  <c r="A47" i="20"/>
  <c r="A45" i="25"/>
  <c r="C44" i="25"/>
  <c r="A42" i="29"/>
  <c r="C41" i="29"/>
  <c r="A45" i="21"/>
  <c r="C44" i="21"/>
  <c r="A28" i="27"/>
  <c r="A42" i="30"/>
  <c r="C42" i="30" s="1"/>
  <c r="A42" i="28"/>
  <c r="C42" i="28" s="1"/>
  <c r="A45" i="26"/>
  <c r="A30" i="26"/>
  <c r="C30" i="26" s="1"/>
  <c r="A42" i="31"/>
  <c r="C42" i="31" s="1"/>
  <c r="A44" i="24"/>
  <c r="C44" i="24" s="1"/>
  <c r="A30" i="24"/>
  <c r="C30" i="24" s="1"/>
  <c r="C46" i="20"/>
  <c r="D30" i="32"/>
  <c r="D33" i="32" s="1"/>
  <c r="A28" i="28" l="1"/>
  <c r="F33" i="32"/>
  <c r="A42" i="27"/>
  <c r="C42" i="27" s="1"/>
  <c r="A46" i="22"/>
  <c r="C46" i="22" s="1"/>
  <c r="C30" i="22"/>
  <c r="C31" i="22"/>
  <c r="A32" i="22"/>
  <c r="C32" i="22" s="1"/>
  <c r="A31" i="23"/>
  <c r="C31" i="23" s="1"/>
  <c r="A31" i="25"/>
  <c r="C31" i="25" s="1"/>
  <c r="A31" i="21"/>
  <c r="C31" i="21" s="1"/>
  <c r="F31" i="23"/>
  <c r="A45" i="23" s="1"/>
  <c r="C45" i="23" s="1"/>
  <c r="A30" i="20"/>
  <c r="C30" i="20" s="1"/>
  <c r="A48" i="20"/>
  <c r="C48" i="20" s="1"/>
  <c r="C47" i="20"/>
  <c r="A28" i="30"/>
  <c r="C42" i="29"/>
  <c r="A46" i="26"/>
  <c r="C45" i="26"/>
  <c r="A28" i="31"/>
  <c r="A47" i="22"/>
  <c r="A46" i="21"/>
  <c r="C46" i="21" s="1"/>
  <c r="C45" i="21"/>
  <c r="A43" i="29"/>
  <c r="C43" i="29" s="1"/>
  <c r="A28" i="29"/>
  <c r="A46" i="25"/>
  <c r="C45" i="25"/>
  <c r="A43" i="30"/>
  <c r="A43" i="31"/>
  <c r="A45" i="24"/>
  <c r="A31" i="26"/>
  <c r="C31" i="26" s="1"/>
  <c r="A43" i="28"/>
  <c r="A44" i="28" s="1"/>
  <c r="C44" i="28" s="1"/>
  <c r="A31" i="24"/>
  <c r="A32" i="24" s="1"/>
  <c r="C45" i="20"/>
  <c r="A43" i="27" l="1"/>
  <c r="A44" i="27" s="1"/>
  <c r="A32" i="23"/>
  <c r="C32" i="23" s="1"/>
  <c r="A33" i="22"/>
  <c r="A34" i="22" s="1"/>
  <c r="C34" i="22" s="1"/>
  <c r="A31" i="20"/>
  <c r="C31" i="20" s="1"/>
  <c r="A32" i="25"/>
  <c r="A33" i="25" s="1"/>
  <c r="C33" i="25" s="1"/>
  <c r="A33" i="23"/>
  <c r="A34" i="23" s="1"/>
  <c r="C34" i="23" s="1"/>
  <c r="A32" i="21"/>
  <c r="C32" i="21" s="1"/>
  <c r="A46" i="23"/>
  <c r="A47" i="23" s="1"/>
  <c r="A48" i="23" s="1"/>
  <c r="C48" i="23" s="1"/>
  <c r="A47" i="21"/>
  <c r="C47" i="21" s="1"/>
  <c r="A32" i="26"/>
  <c r="A33" i="26" s="1"/>
  <c r="C33" i="26" s="1"/>
  <c r="C46" i="26"/>
  <c r="A47" i="26"/>
  <c r="C43" i="28"/>
  <c r="C43" i="30"/>
  <c r="A44" i="30"/>
  <c r="C44" i="30" s="1"/>
  <c r="A33" i="24"/>
  <c r="C33" i="24" s="1"/>
  <c r="C47" i="22"/>
  <c r="A48" i="22"/>
  <c r="C48" i="22" s="1"/>
  <c r="A46" i="24"/>
  <c r="C46" i="24" s="1"/>
  <c r="C45" i="24"/>
  <c r="C46" i="25"/>
  <c r="A47" i="25"/>
  <c r="C47" i="25" s="1"/>
  <c r="C43" i="31"/>
  <c r="A44" i="31"/>
  <c r="C44" i="31" s="1"/>
  <c r="A45" i="28"/>
  <c r="C45" i="28" s="1"/>
  <c r="A44" i="29"/>
  <c r="C44" i="29" s="1"/>
  <c r="C31" i="24"/>
  <c r="C32" i="24"/>
  <c r="C50" i="20"/>
  <c r="B39" i="20" s="1"/>
  <c r="C43" i="27" l="1"/>
  <c r="C33" i="22"/>
  <c r="C36" i="22" s="1"/>
  <c r="C46" i="23"/>
  <c r="C33" i="23"/>
  <c r="C36" i="23" s="1"/>
  <c r="A33" i="21"/>
  <c r="C33" i="21" s="1"/>
  <c r="C35" i="21" s="1"/>
  <c r="A32" i="20"/>
  <c r="C32" i="20" s="1"/>
  <c r="C32" i="25"/>
  <c r="C35" i="25" s="1"/>
  <c r="A48" i="21"/>
  <c r="C48" i="21" s="1"/>
  <c r="C32" i="26"/>
  <c r="C35" i="26" s="1"/>
  <c r="A45" i="30"/>
  <c r="C45" i="30" s="1"/>
  <c r="C47" i="30" s="1"/>
  <c r="B36" i="30" s="1"/>
  <c r="A47" i="24"/>
  <c r="C47" i="24" s="1"/>
  <c r="C47" i="28"/>
  <c r="B36" i="28" s="1"/>
  <c r="A48" i="25"/>
  <c r="C48" i="25" s="1"/>
  <c r="C50" i="25" s="1"/>
  <c r="B39" i="25" s="1"/>
  <c r="C47" i="26"/>
  <c r="A48" i="26"/>
  <c r="C48" i="26" s="1"/>
  <c r="C44" i="27"/>
  <c r="A45" i="27"/>
  <c r="C45" i="27" s="1"/>
  <c r="C47" i="23"/>
  <c r="A49" i="23"/>
  <c r="C49" i="23" s="1"/>
  <c r="C35" i="24"/>
  <c r="A45" i="31"/>
  <c r="C45" i="31" s="1"/>
  <c r="C47" i="31" s="1"/>
  <c r="B36" i="31" s="1"/>
  <c r="A45" i="29"/>
  <c r="C45" i="29" s="1"/>
  <c r="C47" i="29" s="1"/>
  <c r="B36" i="29" s="1"/>
  <c r="A49" i="22"/>
  <c r="C49" i="22" s="1"/>
  <c r="C51" i="22" s="1"/>
  <c r="E39" i="20"/>
  <c r="C42" i="20"/>
  <c r="A33" i="20" l="1"/>
  <c r="C33" i="20" s="1"/>
  <c r="C35" i="20" s="1"/>
  <c r="B38" i="20" s="1"/>
  <c r="B40" i="20" s="1"/>
  <c r="K32" i="20" s="1"/>
  <c r="B38" i="25"/>
  <c r="A48" i="24"/>
  <c r="C48" i="24" s="1"/>
  <c r="C50" i="24" s="1"/>
  <c r="B39" i="24" s="1"/>
  <c r="E39" i="24" s="1"/>
  <c r="C51" i="23"/>
  <c r="B40" i="23" s="1"/>
  <c r="B39" i="22"/>
  <c r="B40" i="22"/>
  <c r="C47" i="27"/>
  <c r="B36" i="27" s="1"/>
  <c r="C50" i="26"/>
  <c r="N21" i="25"/>
  <c r="N22" i="22"/>
  <c r="M20" i="29"/>
  <c r="N22" i="23"/>
  <c r="M20" i="27"/>
  <c r="N21" i="24"/>
  <c r="F39" i="20"/>
  <c r="M20" i="30"/>
  <c r="N21" i="21"/>
  <c r="N34" i="21" s="1"/>
  <c r="N21" i="26"/>
  <c r="M20" i="31"/>
  <c r="K39" i="20"/>
  <c r="M20" i="28"/>
  <c r="D35" i="20" l="1"/>
  <c r="E38" i="20"/>
  <c r="B38" i="24"/>
  <c r="B39" i="23"/>
  <c r="B39" i="26"/>
  <c r="B38" i="26"/>
  <c r="C50" i="21"/>
  <c r="B38" i="21" s="1"/>
  <c r="O21" i="21" l="1"/>
  <c r="O34" i="21" s="1"/>
  <c r="N20" i="29"/>
  <c r="F38" i="20"/>
  <c r="N20" i="28"/>
  <c r="O21" i="25"/>
  <c r="N20" i="31"/>
  <c r="O21" i="26"/>
  <c r="N20" i="30"/>
  <c r="K38" i="20"/>
  <c r="E40" i="20"/>
  <c r="O22" i="22"/>
  <c r="O21" i="24"/>
  <c r="O22" i="23"/>
  <c r="N20" i="27"/>
  <c r="B39" i="21"/>
  <c r="E39" i="21" s="1"/>
  <c r="E38" i="21" l="1"/>
  <c r="N21" i="28" s="1"/>
  <c r="F39" i="21"/>
  <c r="M21" i="27"/>
  <c r="N22" i="24"/>
  <c r="M21" i="28"/>
  <c r="N22" i="26"/>
  <c r="M21" i="29"/>
  <c r="N23" i="22"/>
  <c r="N35" i="22" s="1"/>
  <c r="E40" i="22" s="1"/>
  <c r="M21" i="30"/>
  <c r="N23" i="23"/>
  <c r="M21" i="31"/>
  <c r="N22" i="25"/>
  <c r="O22" i="24" l="1"/>
  <c r="N21" i="31"/>
  <c r="F38" i="21"/>
  <c r="E40" i="21"/>
  <c r="O23" i="23"/>
  <c r="N21" i="30"/>
  <c r="O22" i="25"/>
  <c r="N21" i="27"/>
  <c r="N21" i="29"/>
  <c r="O22" i="26"/>
  <c r="O23" i="22"/>
  <c r="O35" i="22" s="1"/>
  <c r="E39" i="22" s="1"/>
  <c r="N22" i="31" s="1"/>
  <c r="M22" i="31"/>
  <c r="N23" i="25"/>
  <c r="N23" i="26"/>
  <c r="M22" i="30"/>
  <c r="N24" i="23"/>
  <c r="N35" i="23" s="1"/>
  <c r="E40" i="23" s="1"/>
  <c r="M22" i="27"/>
  <c r="N23" i="24"/>
  <c r="F40" i="22"/>
  <c r="M22" i="29"/>
  <c r="M22" i="28"/>
  <c r="O23" i="24" l="1"/>
  <c r="N22" i="27"/>
  <c r="N22" i="30"/>
  <c r="N22" i="28"/>
  <c r="N22" i="29"/>
  <c r="F39" i="22"/>
  <c r="O23" i="26"/>
  <c r="E41" i="22"/>
  <c r="O24" i="23"/>
  <c r="O35" i="23" s="1"/>
  <c r="E39" i="23" s="1"/>
  <c r="O23" i="25"/>
  <c r="N24" i="26"/>
  <c r="M23" i="27"/>
  <c r="N24" i="25"/>
  <c r="M23" i="31"/>
  <c r="M23" i="29"/>
  <c r="N24" i="24"/>
  <c r="N34" i="24" s="1"/>
  <c r="M23" i="28"/>
  <c r="M23" i="30"/>
  <c r="F40" i="23"/>
  <c r="N23" i="31" l="1"/>
  <c r="F39" i="23"/>
  <c r="E41" i="23"/>
  <c r="O24" i="26"/>
  <c r="N23" i="29"/>
  <c r="N23" i="30"/>
  <c r="O24" i="24"/>
  <c r="O34" i="24" s="1"/>
  <c r="E38" i="24" s="1"/>
  <c r="N24" i="29" s="1"/>
  <c r="O24" i="25"/>
  <c r="N23" i="27"/>
  <c r="N23" i="28"/>
  <c r="M24" i="27"/>
  <c r="F39" i="24"/>
  <c r="N25" i="25"/>
  <c r="N34" i="25" s="1"/>
  <c r="E39" i="25" s="1"/>
  <c r="M24" i="31"/>
  <c r="M24" i="29"/>
  <c r="M24" i="28"/>
  <c r="N25" i="26"/>
  <c r="M24" i="30"/>
  <c r="E40" i="24" l="1"/>
  <c r="N24" i="31"/>
  <c r="N24" i="28"/>
  <c r="F38" i="24"/>
  <c r="O25" i="26"/>
  <c r="O25" i="25"/>
  <c r="O34" i="25" s="1"/>
  <c r="E38" i="25" s="1"/>
  <c r="F38" i="25" s="1"/>
  <c r="N24" i="27"/>
  <c r="N24" i="30"/>
  <c r="M25" i="30"/>
  <c r="F39" i="25"/>
  <c r="M25" i="27"/>
  <c r="M25" i="28"/>
  <c r="M25" i="29"/>
  <c r="M25" i="31"/>
  <c r="N26" i="26"/>
  <c r="N34" i="26" s="1"/>
  <c r="E39" i="26" s="1"/>
  <c r="N25" i="29" l="1"/>
  <c r="N25" i="27"/>
  <c r="O26" i="26"/>
  <c r="O34" i="26" s="1"/>
  <c r="E38" i="26" s="1"/>
  <c r="N26" i="28" s="1"/>
  <c r="N25" i="30"/>
  <c r="N25" i="31"/>
  <c r="E40" i="25"/>
  <c r="N25" i="28"/>
  <c r="M26" i="28"/>
  <c r="M26" i="29"/>
  <c r="M26" i="31"/>
  <c r="M26" i="30"/>
  <c r="F39" i="26"/>
  <c r="M26" i="27"/>
  <c r="M32" i="27" s="1"/>
  <c r="E35" i="27" s="1"/>
  <c r="F38" i="26" l="1"/>
  <c r="N26" i="27"/>
  <c r="N32" i="27" s="1"/>
  <c r="N26" i="29"/>
  <c r="E40" i="26"/>
  <c r="N26" i="31"/>
  <c r="N26" i="30"/>
  <c r="M27" i="30"/>
  <c r="M27" i="28"/>
  <c r="M32" i="28" s="1"/>
  <c r="E35" i="28" s="1"/>
  <c r="M27" i="31"/>
  <c r="M27" i="29"/>
  <c r="M28" i="31" l="1"/>
  <c r="M28" i="29"/>
  <c r="M32" i="29" s="1"/>
  <c r="E35" i="29" s="1"/>
  <c r="M28" i="30"/>
  <c r="M29" i="31" l="1"/>
  <c r="M29" i="30"/>
  <c r="M32" i="30" s="1"/>
  <c r="E35" i="30" s="1"/>
  <c r="M30" i="31" s="1"/>
  <c r="M32" i="31" l="1"/>
  <c r="E35" i="31" s="1"/>
  <c r="C28" i="27"/>
  <c r="A29" i="27"/>
  <c r="A30" i="27" l="1"/>
  <c r="C30" i="27" s="1"/>
  <c r="C29" i="27"/>
  <c r="A31" i="27" l="1"/>
  <c r="C31" i="27" s="1"/>
  <c r="C33" i="27" s="1"/>
  <c r="E34" i="27" l="1"/>
  <c r="B35" i="27"/>
  <c r="N27" i="31" l="1"/>
  <c r="N27" i="30"/>
  <c r="N27" i="28"/>
  <c r="N32" i="28" s="1"/>
  <c r="N27" i="29"/>
  <c r="E36" i="27"/>
  <c r="A29" i="28"/>
  <c r="C29" i="28" s="1"/>
  <c r="C28" i="28"/>
  <c r="A30" i="28" l="1"/>
  <c r="C30" i="28" s="1"/>
  <c r="A31" i="28" l="1"/>
  <c r="C31" i="28" s="1"/>
  <c r="C33" i="28" s="1"/>
  <c r="E34" i="28" l="1"/>
  <c r="B35" i="28"/>
  <c r="E36" i="28" l="1"/>
  <c r="N28" i="31"/>
  <c r="N28" i="30"/>
  <c r="N28" i="29"/>
  <c r="N32" i="29" s="1"/>
  <c r="A29" i="29"/>
  <c r="C28" i="29"/>
  <c r="A30" i="29" l="1"/>
  <c r="C30" i="29" s="1"/>
  <c r="C29" i="29"/>
  <c r="A31" i="29" l="1"/>
  <c r="C31" i="29" s="1"/>
  <c r="C33" i="29" s="1"/>
  <c r="B35" i="29" l="1"/>
  <c r="E34" i="29"/>
  <c r="N29" i="31" l="1"/>
  <c r="N29" i="30"/>
  <c r="N32" i="30" s="1"/>
  <c r="E36" i="29"/>
  <c r="A29" i="30"/>
  <c r="A30" i="30" s="1"/>
  <c r="C30" i="30" s="1"/>
  <c r="C28" i="30"/>
  <c r="C29" i="30" l="1"/>
  <c r="A31" i="30"/>
  <c r="C31" i="30" s="1"/>
  <c r="C33" i="30" l="1"/>
  <c r="B35" i="30" s="1"/>
  <c r="E34" i="30" l="1"/>
  <c r="N30" i="31" s="1"/>
  <c r="N32" i="31" s="1"/>
  <c r="A29" i="31"/>
  <c r="A30" i="31" s="1"/>
  <c r="C30" i="31" s="1"/>
  <c r="C28" i="31"/>
  <c r="E36" i="30" l="1"/>
  <c r="A31" i="31"/>
  <c r="C31" i="31" s="1"/>
  <c r="C29" i="31"/>
  <c r="C33" i="31" l="1"/>
  <c r="B35" i="31" l="1"/>
  <c r="E34" i="31"/>
  <c r="E36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Aden Baihaqi</author>
  </authors>
  <commentList>
    <comment ref="A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D2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Heriyas</author>
  </authors>
  <commentList>
    <comment ref="A8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Heriyas:</t>
        </r>
        <r>
          <rPr>
            <sz val="8"/>
            <color indexed="81"/>
            <rFont val="Tahoma"/>
            <family val="2"/>
          </rPr>
          <t xml:space="preserve">
1000
/3R1
/3R3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Heriyas</author>
  </authors>
  <commentList>
    <comment ref="A8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Heriyas:</t>
        </r>
        <r>
          <rPr>
            <sz val="8"/>
            <color indexed="81"/>
            <rFont val="Tahoma"/>
            <family val="2"/>
          </rPr>
          <t xml:space="preserve">
1000
/3R1
/3R3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Heriyas</author>
  </authors>
  <commentList>
    <comment ref="A8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Heriyas:</t>
        </r>
        <r>
          <rPr>
            <sz val="8"/>
            <color indexed="81"/>
            <rFont val="Tahoma"/>
            <family val="2"/>
          </rPr>
          <t xml:space="preserve">
1000
/3R1
/3R3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Aden Baihaqi</author>
    <author>nana</author>
  </authors>
  <commentList>
    <comment ref="A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C24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nana:</t>
        </r>
        <r>
          <rPr>
            <sz val="9"/>
            <color indexed="81"/>
            <rFont val="Tahoma"/>
            <family val="2"/>
          </rPr>
          <t xml:space="preserve">
AGI</t>
        </r>
      </text>
    </comment>
    <comment ref="D24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Aden Baihaqi</author>
    <author>nana</author>
  </authors>
  <commentList>
    <comment ref="A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C25" authorId="1" shapeId="0" xr:uid="{00000000-0006-0000-0200-000008000000}">
      <text>
        <r>
          <rPr>
            <b/>
            <sz val="9"/>
            <color rgb="FF000000"/>
            <rFont val="Tahoma"/>
            <family val="2"/>
          </rPr>
          <t>nana: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AGI</t>
        </r>
      </text>
    </comment>
    <comment ref="D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Aden Baihaqi</author>
    <author>nana</author>
  </authors>
  <commentList>
    <comment ref="A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8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1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C25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nana:</t>
        </r>
        <r>
          <rPr>
            <sz val="9"/>
            <color indexed="81"/>
            <rFont val="Tahoma"/>
            <family val="2"/>
          </rPr>
          <t xml:space="preserve">
AGI</t>
        </r>
      </text>
    </comment>
    <comment ref="D25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Aden Baihaqi</author>
  </authors>
  <commentList>
    <comment ref="A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6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7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0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D24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Aden Baihaqi</author>
  </authors>
  <commentList>
    <comment ref="A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6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7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0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D24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Aden Baihaqi</author>
  </authors>
  <commentList>
    <comment ref="A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6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7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0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D24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Heriyas</author>
  </authors>
  <commentList>
    <comment ref="A8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Heriyas:</t>
        </r>
        <r>
          <rPr>
            <sz val="8"/>
            <color indexed="81"/>
            <rFont val="Tahoma"/>
            <family val="2"/>
          </rPr>
          <t xml:space="preserve">
1000
/3R1
/3R3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Heriyas</author>
  </authors>
  <commentList>
    <comment ref="A8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Heriyas:</t>
        </r>
        <r>
          <rPr>
            <sz val="8"/>
            <color indexed="81"/>
            <rFont val="Tahoma"/>
            <family val="2"/>
          </rPr>
          <t xml:space="preserve">
1000
/3R1
/3R3</t>
        </r>
      </text>
    </comment>
  </commentList>
</comments>
</file>

<file path=xl/sharedStrings.xml><?xml version="1.0" encoding="utf-8"?>
<sst xmlns="http://schemas.openxmlformats.org/spreadsheetml/2006/main" count="966" uniqueCount="113">
  <si>
    <t>Reg Gross</t>
  </si>
  <si>
    <t>Irr Gross</t>
  </si>
  <si>
    <t>Reg Net</t>
  </si>
  <si>
    <t>Reg Net Tax</t>
  </si>
  <si>
    <t>Irr Net</t>
  </si>
  <si>
    <t>Irr Net Tax</t>
  </si>
  <si>
    <t>Bulan</t>
  </si>
  <si>
    <t>Pre tax ded</t>
  </si>
  <si>
    <t>Amount</t>
  </si>
  <si>
    <t>Total (/126)</t>
  </si>
  <si>
    <t>Pernr</t>
  </si>
  <si>
    <t>Func Cost (/410)</t>
  </si>
  <si>
    <t>Bracket Tax</t>
  </si>
  <si>
    <t>Rate</t>
  </si>
  <si>
    <t>AnnTtl Tax (/419)</t>
  </si>
  <si>
    <t>Ann Irr Tax (/421)</t>
  </si>
  <si>
    <t>Ann Reg Tax (/420)</t>
  </si>
  <si>
    <t>Irr Tax (/423)</t>
  </si>
  <si>
    <t>Reg Tax (/422)</t>
  </si>
  <si>
    <t>Irreg FC (/411)</t>
  </si>
  <si>
    <t>Total Tax</t>
  </si>
  <si>
    <t>Regular Tax</t>
  </si>
  <si>
    <t>AnnTtl Tax (/420)</t>
  </si>
  <si>
    <t>Total Tax (/424)</t>
  </si>
  <si>
    <t xml:space="preserve">System </t>
  </si>
  <si>
    <t>Reg Total</t>
  </si>
  <si>
    <t xml:space="preserve">Irr Total </t>
  </si>
  <si>
    <t>Total Gross</t>
  </si>
  <si>
    <t xml:space="preserve">Reg Net </t>
  </si>
  <si>
    <t xml:space="preserve">Irr Net </t>
  </si>
  <si>
    <t xml:space="preserve">Dapen </t>
  </si>
  <si>
    <t xml:space="preserve">Jamsostek </t>
  </si>
  <si>
    <t>Ann Ttl Tax</t>
  </si>
  <si>
    <t>Annual PTKP</t>
  </si>
  <si>
    <t>Ann Total Net</t>
  </si>
  <si>
    <t xml:space="preserve">Ann Irr Net </t>
  </si>
  <si>
    <t xml:space="preserve">Ann Reg Net </t>
  </si>
  <si>
    <t>Reg</t>
  </si>
  <si>
    <t>Previous Cumulative Income</t>
  </si>
  <si>
    <t>Ireg</t>
  </si>
  <si>
    <t>Maret</t>
  </si>
  <si>
    <t>April</t>
  </si>
  <si>
    <t>Mei</t>
  </si>
  <si>
    <t>Reg Tax</t>
  </si>
  <si>
    <t>Ireg Tax</t>
  </si>
  <si>
    <t>Januari</t>
  </si>
  <si>
    <t>Februari</t>
  </si>
  <si>
    <t>Juni</t>
  </si>
  <si>
    <t>July</t>
  </si>
  <si>
    <t>Agustus</t>
  </si>
  <si>
    <t>September</t>
  </si>
  <si>
    <t>Oktober</t>
  </si>
  <si>
    <t>November</t>
  </si>
  <si>
    <t>Desember</t>
  </si>
  <si>
    <t>Total</t>
  </si>
  <si>
    <t>Pembulatan Ann Ttl Tax</t>
  </si>
  <si>
    <t>Bulan Hiring</t>
  </si>
  <si>
    <t>Total Bulan Kerja</t>
  </si>
  <si>
    <t>Payroll Bulan ke</t>
  </si>
  <si>
    <t>Minova HR APOL</t>
  </si>
  <si>
    <t>Trisna</t>
  </si>
  <si>
    <t>Ann Reg Tax</t>
  </si>
  <si>
    <t>Pembulatan Ann Reg Tax</t>
  </si>
  <si>
    <t>Month</t>
  </si>
  <si>
    <t>Regular</t>
  </si>
  <si>
    <t>Income</t>
  </si>
  <si>
    <t>Deduction</t>
  </si>
  <si>
    <t>Irregular</t>
  </si>
  <si>
    <t>Functional Cost</t>
  </si>
  <si>
    <t>January</t>
  </si>
  <si>
    <t>February</t>
  </si>
  <si>
    <t>March</t>
  </si>
  <si>
    <t>May</t>
  </si>
  <si>
    <t>June</t>
  </si>
  <si>
    <t>August</t>
  </si>
  <si>
    <t>October</t>
  </si>
  <si>
    <t>December</t>
  </si>
  <si>
    <t>Annual Regular Nett</t>
  </si>
  <si>
    <t>Annual Irregular Nett</t>
  </si>
  <si>
    <t>Annual Total Nett</t>
  </si>
  <si>
    <t>Annual Total PTKP</t>
  </si>
  <si>
    <t>Annual Total Tax</t>
  </si>
  <si>
    <t>Annual Regular Tax</t>
  </si>
  <si>
    <t>Pembulatan</t>
  </si>
  <si>
    <t>Bracket</t>
  </si>
  <si>
    <t>Annual Total</t>
  </si>
  <si>
    <t>Annual Regular</t>
  </si>
  <si>
    <t>Tax Amount</t>
  </si>
  <si>
    <t>Annual Irregular</t>
  </si>
  <si>
    <t>Aden</t>
  </si>
  <si>
    <t>Selisih</t>
  </si>
  <si>
    <t>STEP PERHITUNGAN PAJAK TIPE NET</t>
  </si>
  <si>
    <t>1. Masukkan Komponen Kena Pajak Sesuai dengan sifat dari masing2 Wage Type (Reg Net/Irr Net)</t>
  </si>
  <si>
    <t>2. Input Pretax sesuai kolomnya</t>
  </si>
  <si>
    <t>BPJS Pensiun</t>
  </si>
  <si>
    <t>BPJS Ket (JHT)</t>
  </si>
  <si>
    <t xml:space="preserve">Annual PTKP </t>
  </si>
  <si>
    <t>3. Isi PTKP employee sesuai Tax Status</t>
  </si>
  <si>
    <t>Pajak</t>
  </si>
  <si>
    <t xml:space="preserve">      Jika Pajak Reguler dan Irreguler terisi:</t>
  </si>
  <si>
    <r>
      <t xml:space="preserve">      1.Yang pertama dilakukan adalah copy paste </t>
    </r>
    <r>
      <rPr>
        <b/>
        <sz val="10"/>
        <rFont val="Arial"/>
        <family val="2"/>
      </rPr>
      <t>value</t>
    </r>
    <r>
      <rPr>
        <sz val="10"/>
        <rFont val="Arial"/>
        <family val="2"/>
      </rPr>
      <t xml:space="preserve"> reg tax ke kolom Reg Nett Tax (D10)</t>
    </r>
  </si>
  <si>
    <t xml:space="preserve">      2.Jika pada field selisih diatas terisi, maka klik selisih tersebut kemudian pilih Tab DATA -&gt; What-if-Analysis -&gt; Goal Seek</t>
  </si>
  <si>
    <r>
      <t xml:space="preserve">      3.Field To value diisi nol (0) dan Field by changing cell diisi dengan meng-klik field </t>
    </r>
    <r>
      <rPr>
        <b/>
        <sz val="10"/>
        <rFont val="Arial"/>
        <family val="2"/>
      </rPr>
      <t>Reg Net Tax</t>
    </r>
    <r>
      <rPr>
        <sz val="10"/>
        <rFont val="Arial"/>
        <family val="2"/>
      </rPr>
      <t xml:space="preserve"> pada tabel no 1</t>
    </r>
  </si>
  <si>
    <t xml:space="preserve">      4.Jika sudah di iterasi hingga nol (0), maka akan terlihat nilai pajak fix untuk Reguler</t>
  </si>
  <si>
    <t xml:space="preserve">      5.Lakukan hal yang sama untuk pajak irreguler</t>
  </si>
  <si>
    <t xml:space="preserve">      Jika Hanya Pajak Reguler yang terisi:</t>
  </si>
  <si>
    <t>4. Goal Seek (Cek detail proses pada bagian bawah)</t>
  </si>
  <si>
    <t>Employee 1</t>
  </si>
  <si>
    <t>Irr</t>
  </si>
  <si>
    <t>pajak</t>
  </si>
  <si>
    <t>sub pjk reg+ireg</t>
  </si>
  <si>
    <t>Ika</t>
  </si>
  <si>
    <t>Ann Tax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</si>
</sst>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10409]#,##0.00;\-#,##0.00"/>
    <numFmt numFmtId="168" formatCode="[$-10409]#,##0;\-#,##0"/>
    <numFmt numFmtId="169" formatCode="#,##0.00_ ;\-#,##0.00\ "/>
  </numFmts>
  <fonts count="18" x14ac:knownFonts="1"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name val="Arial"/>
      <family val="2"/>
    </font>
    <font>
      <sz val="15"/>
      <name val="Arial"/>
      <family val="2"/>
    </font>
    <font>
      <sz val="10"/>
      <color rgb="FFFF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8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0" borderId="0" xfId="0" applyFill="1"/>
    <xf numFmtId="3" fontId="0" fillId="0" borderId="1" xfId="0" applyNumberFormat="1" applyBorder="1"/>
    <xf numFmtId="9" fontId="0" fillId="0" borderId="1" xfId="0" applyNumberFormat="1" applyBorder="1"/>
    <xf numFmtId="3" fontId="0" fillId="3" borderId="1" xfId="0" applyNumberForma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9" fontId="0" fillId="0" borderId="0" xfId="0" applyNumberFormat="1" applyFill="1" applyBorder="1"/>
    <xf numFmtId="0" fontId="0" fillId="0" borderId="1" xfId="0" applyBorder="1" applyAlignment="1">
      <alignment horizontal="right"/>
    </xf>
    <xf numFmtId="0" fontId="0" fillId="5" borderId="1" xfId="0" applyFill="1" applyBorder="1"/>
    <xf numFmtId="0" fontId="0" fillId="6" borderId="1" xfId="0" applyFill="1" applyBorder="1" applyAlignment="1">
      <alignment horizontal="right"/>
    </xf>
    <xf numFmtId="0" fontId="0" fillId="0" borderId="2" xfId="0" applyFill="1" applyBorder="1"/>
    <xf numFmtId="166" fontId="0" fillId="0" borderId="0" xfId="1" applyNumberFormat="1" applyFont="1" applyFill="1" applyBorder="1"/>
    <xf numFmtId="3" fontId="0" fillId="7" borderId="1" xfId="0" applyNumberFormat="1" applyFill="1" applyBorder="1"/>
    <xf numFmtId="10" fontId="0" fillId="0" borderId="0" xfId="2" applyNumberFormat="1" applyFont="1"/>
    <xf numFmtId="167" fontId="5" fillId="0" borderId="3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1" xfId="0" quotePrefix="1" applyBorder="1" applyAlignment="1">
      <alignment horizontal="right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8" borderId="1" xfId="0" applyFont="1" applyFill="1" applyBorder="1"/>
    <xf numFmtId="167" fontId="4" fillId="0" borderId="0" xfId="0" applyNumberFormat="1" applyFont="1" applyBorder="1" applyAlignment="1" applyProtection="1">
      <alignment horizontal="right" vertical="top" wrapText="1" readingOrder="1"/>
      <protection locked="0"/>
    </xf>
    <xf numFmtId="3" fontId="0" fillId="9" borderId="1" xfId="0" applyNumberFormat="1" applyFill="1" applyBorder="1"/>
    <xf numFmtId="0" fontId="0" fillId="0" borderId="1" xfId="0" applyFill="1" applyBorder="1"/>
    <xf numFmtId="0" fontId="0" fillId="0" borderId="5" xfId="0" applyBorder="1"/>
    <xf numFmtId="0" fontId="0" fillId="0" borderId="0" xfId="0"/>
    <xf numFmtId="0" fontId="0" fillId="0" borderId="0" xfId="0"/>
    <xf numFmtId="164" fontId="0" fillId="0" borderId="0" xfId="3" applyFont="1"/>
    <xf numFmtId="0" fontId="8" fillId="0" borderId="0" xfId="0" applyFont="1" applyAlignment="1">
      <alignment horizontal="center"/>
    </xf>
    <xf numFmtId="0" fontId="8" fillId="0" borderId="0" xfId="0" applyFont="1"/>
    <xf numFmtId="164" fontId="0" fillId="0" borderId="0" xfId="0" applyNumberFormat="1"/>
    <xf numFmtId="0" fontId="8" fillId="13" borderId="1" xfId="0" applyFont="1" applyFill="1" applyBorder="1" applyAlignment="1">
      <alignment horizontal="center"/>
    </xf>
    <xf numFmtId="164" fontId="0" fillId="0" borderId="1" xfId="3" applyFont="1" applyBorder="1"/>
    <xf numFmtId="164" fontId="0" fillId="0" borderId="1" xfId="0" applyNumberFormat="1" applyBorder="1"/>
    <xf numFmtId="164" fontId="8" fillId="12" borderId="1" xfId="0" applyNumberFormat="1" applyFont="1" applyFill="1" applyBorder="1"/>
    <xf numFmtId="164" fontId="8" fillId="12" borderId="1" xfId="3" applyFont="1" applyFill="1" applyBorder="1"/>
    <xf numFmtId="0" fontId="0" fillId="0" borderId="0" xfId="0"/>
    <xf numFmtId="168" fontId="0" fillId="0" borderId="0" xfId="0" applyNumberFormat="1"/>
    <xf numFmtId="0" fontId="0" fillId="0" borderId="0" xfId="0"/>
    <xf numFmtId="0" fontId="0" fillId="0" borderId="0" xfId="0"/>
    <xf numFmtId="167" fontId="10" fillId="0" borderId="6" xfId="0" applyNumberFormat="1" applyFont="1" applyFill="1" applyBorder="1" applyAlignment="1">
      <alignment horizontal="right" vertical="top" wrapText="1" readingOrder="1"/>
    </xf>
    <xf numFmtId="3" fontId="0" fillId="0" borderId="0" xfId="0" applyNumberFormat="1" applyBorder="1"/>
    <xf numFmtId="0" fontId="13" fillId="0" borderId="0" xfId="0" applyFont="1" applyAlignment="1">
      <alignment horizontal="center"/>
    </xf>
    <xf numFmtId="0" fontId="14" fillId="0" borderId="0" xfId="0" applyFont="1"/>
    <xf numFmtId="0" fontId="8" fillId="2" borderId="1" xfId="0" applyFont="1" applyFill="1" applyBorder="1" applyAlignment="1">
      <alignment horizontal="center"/>
    </xf>
    <xf numFmtId="167" fontId="9" fillId="9" borderId="6" xfId="0" applyNumberFormat="1" applyFont="1" applyFill="1" applyBorder="1" applyAlignment="1">
      <alignment horizontal="right" vertical="top" wrapText="1" readingOrder="1"/>
    </xf>
    <xf numFmtId="0" fontId="13" fillId="0" borderId="0" xfId="0" applyFont="1" applyAlignment="1">
      <alignment horizontal="center"/>
    </xf>
    <xf numFmtId="0" fontId="0" fillId="0" borderId="0" xfId="0"/>
    <xf numFmtId="169" fontId="0" fillId="0" borderId="0" xfId="0" applyNumberFormat="1"/>
    <xf numFmtId="0" fontId="0" fillId="9" borderId="0" xfId="0" applyFill="1"/>
    <xf numFmtId="3" fontId="0" fillId="0" borderId="0" xfId="0" applyNumberFormat="1" applyAlignment="1">
      <alignment horizontal="right"/>
    </xf>
    <xf numFmtId="0" fontId="15" fillId="0" borderId="0" xfId="0" applyFont="1"/>
    <xf numFmtId="164" fontId="0" fillId="0" borderId="1" xfId="3" applyFont="1" applyFill="1" applyBorder="1"/>
    <xf numFmtId="164" fontId="0" fillId="0" borderId="0" xfId="3" applyFont="1" applyBorder="1"/>
    <xf numFmtId="3" fontId="0" fillId="14" borderId="1" xfId="0" applyNumberFormat="1" applyFill="1" applyBorder="1"/>
    <xf numFmtId="3" fontId="0" fillId="0" borderId="1" xfId="0" applyNumberFormat="1" applyFill="1" applyBorder="1"/>
    <xf numFmtId="0" fontId="0" fillId="0" borderId="0" xfId="0"/>
    <xf numFmtId="0" fontId="0" fillId="0" borderId="0" xfId="0"/>
    <xf numFmtId="167" fontId="5" fillId="0" borderId="0" xfId="0" applyNumberFormat="1" applyFont="1" applyBorder="1" applyAlignment="1" applyProtection="1">
      <alignment horizontal="right" vertical="top" wrapText="1" readingOrder="1"/>
      <protection locked="0"/>
    </xf>
    <xf numFmtId="3" fontId="0" fillId="15" borderId="1" xfId="0" applyNumberFormat="1" applyFill="1" applyBorder="1"/>
    <xf numFmtId="0" fontId="15" fillId="2" borderId="1" xfId="0" applyFont="1" applyFill="1" applyBorder="1"/>
    <xf numFmtId="3" fontId="15" fillId="0" borderId="1" xfId="0" applyNumberFormat="1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 vertical="center"/>
    </xf>
  </cellXfs>
  <cellStyles count="5">
    <cellStyle name="Comma" xfId="1" builtinId="3"/>
    <cellStyle name="Comma [0]" xfId="3" builtinId="6"/>
    <cellStyle name="Excel Built-in Comma [0]" xfId="4" xr:uid="{00000000-0005-0000-0000-000002000000}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opLeftCell="D19" zoomScale="85" zoomScaleNormal="85" zoomScalePageLayoutView="85" workbookViewId="0">
      <selection activeCell="I12" sqref="I12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2.7109375" style="47" customWidth="1"/>
    <col min="8" max="8" width="15.42578125" style="34" customWidth="1"/>
    <col min="9" max="9" width="14.42578125" style="34" customWidth="1"/>
    <col min="10" max="10" width="8.85546875" style="34"/>
    <col min="11" max="11" width="12.7109375" style="34" bestFit="1" customWidth="1"/>
    <col min="12" max="16384" width="8.85546875" style="34"/>
  </cols>
  <sheetData>
    <row r="1" spans="1:10" x14ac:dyDescent="0.2">
      <c r="A1" s="2" t="s">
        <v>24</v>
      </c>
      <c r="B1" s="16" t="s">
        <v>59</v>
      </c>
      <c r="H1" s="38" t="s">
        <v>91</v>
      </c>
    </row>
    <row r="2" spans="1:10" x14ac:dyDescent="0.2">
      <c r="A2" s="2" t="s">
        <v>10</v>
      </c>
      <c r="B2" s="75" t="s">
        <v>111</v>
      </c>
      <c r="C2" s="76"/>
      <c r="D2" s="76"/>
      <c r="H2" s="34" t="s">
        <v>92</v>
      </c>
    </row>
    <row r="3" spans="1:10" x14ac:dyDescent="0.2">
      <c r="A3" s="2" t="s">
        <v>56</v>
      </c>
      <c r="B3" s="24">
        <v>1</v>
      </c>
      <c r="H3" s="34" t="s">
        <v>93</v>
      </c>
    </row>
    <row r="4" spans="1:10" x14ac:dyDescent="0.2">
      <c r="A4" s="2" t="s">
        <v>57</v>
      </c>
      <c r="B4" s="2">
        <v>12</v>
      </c>
      <c r="H4" s="34" t="s">
        <v>97</v>
      </c>
    </row>
    <row r="5" spans="1:10" x14ac:dyDescent="0.2">
      <c r="A5" s="2" t="s">
        <v>6</v>
      </c>
      <c r="B5" s="2">
        <v>1</v>
      </c>
      <c r="C5" s="33">
        <v>2021</v>
      </c>
      <c r="D5" s="48" t="s">
        <v>107</v>
      </c>
      <c r="H5" s="47" t="s">
        <v>106</v>
      </c>
      <c r="I5" s="47"/>
    </row>
    <row r="6" spans="1:10" x14ac:dyDescent="0.2">
      <c r="A6" s="32" t="s">
        <v>58</v>
      </c>
      <c r="B6" s="2">
        <f>B5+1-B3</f>
        <v>1</v>
      </c>
      <c r="C6" s="3"/>
    </row>
    <row r="7" spans="1:10" s="47" customFormat="1" x14ac:dyDescent="0.2">
      <c r="A7" s="13"/>
      <c r="B7" s="3"/>
      <c r="C7" s="3"/>
    </row>
    <row r="8" spans="1:10" ht="19.5" x14ac:dyDescent="0.3">
      <c r="A8" s="73">
        <v>1</v>
      </c>
      <c r="B8" s="73"/>
      <c r="C8" s="73"/>
      <c r="D8" s="73"/>
      <c r="E8" s="73"/>
      <c r="F8" s="73"/>
      <c r="G8" s="52"/>
      <c r="H8" s="73">
        <v>2</v>
      </c>
      <c r="I8" s="73"/>
    </row>
    <row r="9" spans="1:10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</row>
    <row r="10" spans="1:10" x14ac:dyDescent="0.2">
      <c r="A10" s="21"/>
      <c r="B10" s="21"/>
      <c r="C10" s="54">
        <v>216720</v>
      </c>
      <c r="D10" s="21">
        <v>16308</v>
      </c>
      <c r="E10" s="21"/>
      <c r="F10" s="21"/>
      <c r="H10" s="2" t="s">
        <v>30</v>
      </c>
      <c r="I10" s="49"/>
    </row>
    <row r="11" spans="1:10" x14ac:dyDescent="0.2">
      <c r="A11" s="21"/>
      <c r="B11" s="21"/>
      <c r="C11" s="54">
        <v>4924000</v>
      </c>
      <c r="D11" s="21"/>
      <c r="E11" s="21"/>
      <c r="F11" s="21"/>
      <c r="H11" s="2" t="s">
        <v>95</v>
      </c>
      <c r="I11" s="54">
        <v>108360</v>
      </c>
    </row>
    <row r="12" spans="1:10" x14ac:dyDescent="0.2">
      <c r="A12" s="21"/>
      <c r="B12" s="21"/>
      <c r="C12" s="54">
        <v>494000</v>
      </c>
      <c r="D12" s="21"/>
      <c r="E12" s="21"/>
      <c r="F12" s="21"/>
      <c r="H12" s="2" t="s">
        <v>94</v>
      </c>
      <c r="I12" s="32">
        <v>54180</v>
      </c>
    </row>
    <row r="13" spans="1:10" x14ac:dyDescent="0.2">
      <c r="A13" s="21"/>
      <c r="B13" s="21"/>
      <c r="C13" s="54">
        <v>1000000</v>
      </c>
      <c r="D13" s="21"/>
      <c r="E13" s="21"/>
      <c r="F13" s="21"/>
      <c r="H13" s="2"/>
      <c r="I13" s="32"/>
    </row>
    <row r="14" spans="1:10" x14ac:dyDescent="0.2">
      <c r="A14" s="21"/>
      <c r="B14" s="21"/>
      <c r="C14" s="54">
        <v>150000</v>
      </c>
      <c r="D14" s="21"/>
      <c r="E14" s="21"/>
      <c r="F14" s="21"/>
      <c r="H14" s="4" t="s">
        <v>9</v>
      </c>
      <c r="I14" s="8">
        <f>SUM(I10:I12)</f>
        <v>162540</v>
      </c>
      <c r="J14" s="5"/>
    </row>
    <row r="15" spans="1:10" x14ac:dyDescent="0.2">
      <c r="A15" s="21"/>
      <c r="B15" s="21"/>
      <c r="C15" s="54">
        <v>13003</v>
      </c>
      <c r="D15" s="21"/>
      <c r="E15" s="21"/>
      <c r="F15" s="21"/>
      <c r="H15" s="3"/>
      <c r="I15" s="3"/>
    </row>
    <row r="16" spans="1:10" x14ac:dyDescent="0.2">
      <c r="A16" s="21"/>
      <c r="B16" s="21"/>
      <c r="C16" s="54">
        <v>16254</v>
      </c>
      <c r="D16" s="21"/>
      <c r="E16" s="21"/>
      <c r="F16" s="21"/>
      <c r="H16" s="1" t="s">
        <v>11</v>
      </c>
      <c r="I16" s="23">
        <v>341514</v>
      </c>
    </row>
    <row r="17" spans="1:11" x14ac:dyDescent="0.2">
      <c r="A17" s="8">
        <f t="shared" ref="A17:F17" si="0">SUM(A10:A16)</f>
        <v>0</v>
      </c>
      <c r="B17" s="8">
        <f t="shared" si="0"/>
        <v>0</v>
      </c>
      <c r="C17" s="8">
        <f t="shared" si="0"/>
        <v>6813977</v>
      </c>
      <c r="D17" s="8">
        <f t="shared" si="0"/>
        <v>16308</v>
      </c>
      <c r="E17" s="8">
        <f>SUM(E10:E16)</f>
        <v>0</v>
      </c>
      <c r="F17" s="8">
        <f t="shared" si="0"/>
        <v>0</v>
      </c>
      <c r="H17" s="1" t="s">
        <v>19</v>
      </c>
      <c r="I17" s="61"/>
    </row>
    <row r="18" spans="1:11" x14ac:dyDescent="0.2">
      <c r="A18" s="3"/>
      <c r="B18" s="3"/>
      <c r="C18" s="3"/>
      <c r="D18" s="3"/>
      <c r="E18" s="3"/>
      <c r="F18" s="3"/>
    </row>
    <row r="19" spans="1:11" x14ac:dyDescent="0.2">
      <c r="A19" s="3"/>
      <c r="B19" s="3"/>
      <c r="C19" s="3"/>
      <c r="D19" s="3"/>
      <c r="E19" s="3"/>
      <c r="F19" s="3"/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</row>
    <row r="21" spans="1:11" x14ac:dyDescent="0.2">
      <c r="A21" s="6">
        <f>A17+C17+D17</f>
        <v>6830285</v>
      </c>
      <c r="B21" s="6">
        <f>B17+E17+F17</f>
        <v>0</v>
      </c>
      <c r="C21" s="6">
        <f>A21+B21</f>
        <v>6830285</v>
      </c>
      <c r="D21" s="6">
        <f>A21-I14-I16</f>
        <v>6326231</v>
      </c>
      <c r="E21" s="6">
        <f>B21-I17</f>
        <v>0</v>
      </c>
      <c r="K21" s="46"/>
    </row>
    <row r="22" spans="1:11" s="47" customFormat="1" x14ac:dyDescent="0.2">
      <c r="A22" s="50"/>
      <c r="B22" s="50"/>
      <c r="C22" s="50"/>
      <c r="D22" s="50"/>
      <c r="E22" s="50"/>
      <c r="K22" s="46"/>
    </row>
    <row r="23" spans="1:11" ht="19.5" x14ac:dyDescent="0.3">
      <c r="D23" s="51">
        <v>3</v>
      </c>
      <c r="J23" s="47"/>
    </row>
    <row r="24" spans="1:11" x14ac:dyDescent="0.2">
      <c r="A24" s="1" t="s">
        <v>36</v>
      </c>
      <c r="B24" s="1" t="s">
        <v>35</v>
      </c>
      <c r="C24" s="1" t="s">
        <v>34</v>
      </c>
      <c r="D24" s="1" t="s">
        <v>96</v>
      </c>
      <c r="E24" s="1" t="s">
        <v>32</v>
      </c>
      <c r="F24" s="1" t="s">
        <v>61</v>
      </c>
      <c r="J24" s="47"/>
    </row>
    <row r="25" spans="1:11" x14ac:dyDescent="0.2">
      <c r="A25" s="6">
        <f>D21*B4/B6</f>
        <v>75914772</v>
      </c>
      <c r="B25" s="6">
        <f>E21</f>
        <v>0</v>
      </c>
      <c r="C25" s="6">
        <f>A25+B25</f>
        <v>75914772</v>
      </c>
      <c r="D25" s="62">
        <v>72000000</v>
      </c>
      <c r="E25" s="6">
        <f>C25-D25</f>
        <v>3914772</v>
      </c>
      <c r="F25" s="6">
        <f>E25-B25</f>
        <v>3914772</v>
      </c>
    </row>
    <row r="26" spans="1:11" x14ac:dyDescent="0.2">
      <c r="A26" s="3"/>
      <c r="B26" s="3"/>
      <c r="C26" s="3"/>
      <c r="D26" s="3"/>
      <c r="E26" s="3"/>
      <c r="F26" s="47"/>
      <c r="K26" s="12">
        <f>E30-750000000</f>
        <v>-746086000</v>
      </c>
    </row>
    <row r="27" spans="1:11" x14ac:dyDescent="0.2">
      <c r="A27" s="34" t="s">
        <v>20</v>
      </c>
      <c r="E27" s="1" t="s">
        <v>55</v>
      </c>
      <c r="F27" s="1" t="s">
        <v>62</v>
      </c>
    </row>
    <row r="28" spans="1:11" x14ac:dyDescent="0.2">
      <c r="A28" s="1" t="s">
        <v>12</v>
      </c>
      <c r="B28" s="1" t="s">
        <v>13</v>
      </c>
      <c r="C28" s="1" t="s">
        <v>8</v>
      </c>
      <c r="D28" s="13"/>
      <c r="E28" s="6">
        <f>E25/1000</f>
        <v>3914.7719999999999</v>
      </c>
      <c r="F28" s="6">
        <f>F25/1000</f>
        <v>3914.7719999999999</v>
      </c>
      <c r="J28" s="47"/>
    </row>
    <row r="29" spans="1:11" x14ac:dyDescent="0.2">
      <c r="A29" s="10">
        <f>IF(E30&gt;60000000,60000000,E30)</f>
        <v>3914000</v>
      </c>
      <c r="B29" s="7">
        <v>0.05</v>
      </c>
      <c r="C29" s="6">
        <f>A29*B29</f>
        <v>195700</v>
      </c>
      <c r="D29" s="14"/>
      <c r="E29" s="32">
        <f>ROUND(E28,0)</f>
        <v>3915</v>
      </c>
      <c r="F29" s="32">
        <f>ROUND(F28,0)</f>
        <v>3915</v>
      </c>
    </row>
    <row r="30" spans="1:11" x14ac:dyDescent="0.2">
      <c r="A30" s="10">
        <f>IF(E30-A29&gt;190000000,190000000,E30-A29)</f>
        <v>0</v>
      </c>
      <c r="B30" s="7">
        <v>0.15</v>
      </c>
      <c r="C30" s="6">
        <f>A30*B30</f>
        <v>0</v>
      </c>
      <c r="D30" s="14"/>
      <c r="E30" s="31">
        <f>ROUNDDOWN(E25,-3)</f>
        <v>3914000</v>
      </c>
      <c r="F30" s="31">
        <f>ROUNDDOWN(F25,-3)</f>
        <v>3914000</v>
      </c>
      <c r="H30" s="47"/>
    </row>
    <row r="31" spans="1:11" x14ac:dyDescent="0.2">
      <c r="A31" s="10">
        <f>IF(E30-(A29+A30)&gt;250000000,250000000,E30-(A29+A30))</f>
        <v>0</v>
      </c>
      <c r="B31" s="7">
        <v>0.25</v>
      </c>
      <c r="C31" s="6">
        <f>A31*B31</f>
        <v>0</v>
      </c>
      <c r="D31" s="14"/>
      <c r="E31" s="30"/>
      <c r="F31" s="3"/>
    </row>
    <row r="32" spans="1:11" x14ac:dyDescent="0.2">
      <c r="A32" s="10">
        <f>IF(E30-(A29+A30+A31)&gt;4500000000,4500000000,E30-(A29+A30+A31))</f>
        <v>0</v>
      </c>
      <c r="B32" s="7">
        <v>0.3</v>
      </c>
      <c r="C32" s="6">
        <f>A32*B32</f>
        <v>0</v>
      </c>
      <c r="D32" s="14"/>
      <c r="E32" s="30"/>
      <c r="F32" s="3"/>
      <c r="I32" s="34">
        <v>1518081000</v>
      </c>
      <c r="K32" s="12">
        <f>I32-B40</f>
        <v>1517885300</v>
      </c>
    </row>
    <row r="33" spans="1:11" s="65" customFormat="1" x14ac:dyDescent="0.2">
      <c r="A33" s="10">
        <f>IF(E30-(A29+A30+A31+A32)&gt;1,E30-(A29+A30+A31+A32),0)</f>
        <v>0</v>
      </c>
      <c r="B33" s="7">
        <v>0.35</v>
      </c>
      <c r="C33" s="6">
        <f>A33*B33</f>
        <v>0</v>
      </c>
      <c r="D33" s="14"/>
      <c r="E33" s="30"/>
      <c r="F33" s="3"/>
    </row>
    <row r="34" spans="1:11" x14ac:dyDescent="0.2">
      <c r="A34" s="10"/>
      <c r="B34" s="7"/>
      <c r="C34" s="6">
        <f>A34*0.35</f>
        <v>0</v>
      </c>
      <c r="D34" s="14"/>
      <c r="E34" s="15"/>
      <c r="F34" s="3"/>
    </row>
    <row r="35" spans="1:11" x14ac:dyDescent="0.2">
      <c r="A35" s="71" t="s">
        <v>14</v>
      </c>
      <c r="B35" s="72"/>
      <c r="C35" s="8">
        <f>SUM(C29:C34)</f>
        <v>195700</v>
      </c>
      <c r="D35" s="77">
        <f>C35-C36</f>
        <v>-17303480</v>
      </c>
      <c r="E35" s="78"/>
    </row>
    <row r="36" spans="1:11" s="47" customFormat="1" ht="19.5" x14ac:dyDescent="0.3">
      <c r="C36" s="36">
        <v>17499180</v>
      </c>
      <c r="D36" s="74">
        <v>4</v>
      </c>
      <c r="E36" s="74"/>
      <c r="F36" s="74"/>
    </row>
    <row r="37" spans="1:11" x14ac:dyDescent="0.2">
      <c r="E37" s="53" t="s">
        <v>98</v>
      </c>
      <c r="F37" s="53" t="s">
        <v>90</v>
      </c>
    </row>
    <row r="38" spans="1:11" x14ac:dyDescent="0.2">
      <c r="A38" s="1" t="s">
        <v>15</v>
      </c>
      <c r="B38" s="6">
        <f>C35-C50</f>
        <v>0</v>
      </c>
      <c r="D38" s="1" t="s">
        <v>17</v>
      </c>
      <c r="E38" s="6">
        <f>C35-B39</f>
        <v>0</v>
      </c>
      <c r="F38" s="6">
        <f>E38-F10</f>
        <v>0</v>
      </c>
      <c r="I38" s="34">
        <v>108400</v>
      </c>
      <c r="J38" s="58" t="s">
        <v>108</v>
      </c>
      <c r="K38" s="12">
        <f>E38-I38</f>
        <v>-108400</v>
      </c>
    </row>
    <row r="39" spans="1:11" x14ac:dyDescent="0.2">
      <c r="A39" s="1" t="s">
        <v>16</v>
      </c>
      <c r="B39" s="6">
        <f>C50</f>
        <v>195700</v>
      </c>
      <c r="D39" s="1" t="s">
        <v>18</v>
      </c>
      <c r="E39" s="6">
        <f>ROUNDDOWN((B39*(B5/12)),0)</f>
        <v>16308</v>
      </c>
      <c r="F39" s="6">
        <f>E39-D10</f>
        <v>0</v>
      </c>
      <c r="I39" s="56">
        <v>30820</v>
      </c>
      <c r="J39" s="58" t="s">
        <v>37</v>
      </c>
      <c r="K39" s="12">
        <f>E39-I39</f>
        <v>-14512</v>
      </c>
    </row>
    <row r="40" spans="1:11" x14ac:dyDescent="0.2">
      <c r="B40" s="12">
        <f>SUM(B38:B39)</f>
        <v>195700</v>
      </c>
      <c r="D40" s="17" t="s">
        <v>23</v>
      </c>
      <c r="E40" s="6">
        <f>E38+E39</f>
        <v>16308</v>
      </c>
      <c r="F40" s="2"/>
      <c r="H40" s="59" t="s">
        <v>110</v>
      </c>
      <c r="I40" s="58">
        <f>SUM(I38:I39)</f>
        <v>139220</v>
      </c>
    </row>
    <row r="41" spans="1:11" x14ac:dyDescent="0.2">
      <c r="C41" s="34">
        <v>17473980</v>
      </c>
      <c r="F41" s="13"/>
      <c r="G41" s="13"/>
      <c r="H41" s="59" t="s">
        <v>109</v>
      </c>
      <c r="I41" s="34">
        <v>200220</v>
      </c>
      <c r="J41" s="60">
        <f>I40-I41</f>
        <v>-61000</v>
      </c>
    </row>
    <row r="42" spans="1:11" x14ac:dyDescent="0.2">
      <c r="A42" s="34" t="s">
        <v>21</v>
      </c>
      <c r="C42" s="12">
        <f>B39-C41</f>
        <v>-17278280</v>
      </c>
      <c r="D42" s="38" t="s">
        <v>105</v>
      </c>
      <c r="F42" s="13"/>
      <c r="G42" s="13"/>
    </row>
    <row r="43" spans="1:11" x14ac:dyDescent="0.2">
      <c r="A43" s="1" t="s">
        <v>12</v>
      </c>
      <c r="B43" s="1" t="s">
        <v>13</v>
      </c>
      <c r="C43" s="1" t="s">
        <v>8</v>
      </c>
      <c r="D43" s="34" t="s">
        <v>100</v>
      </c>
      <c r="E43" s="20"/>
      <c r="F43" s="13"/>
      <c r="G43" s="13"/>
    </row>
    <row r="44" spans="1:11" x14ac:dyDescent="0.2">
      <c r="A44" s="10">
        <f>IF(F30&gt;60000000,60000000,F30)</f>
        <v>3914000</v>
      </c>
      <c r="B44" s="7">
        <v>0.05</v>
      </c>
      <c r="C44" s="6">
        <f>A44*0.05</f>
        <v>195700</v>
      </c>
      <c r="D44" s="34" t="s">
        <v>101</v>
      </c>
      <c r="F44" s="14"/>
      <c r="G44" s="14"/>
    </row>
    <row r="45" spans="1:11" x14ac:dyDescent="0.2">
      <c r="A45" s="10">
        <f>IF(F30-A44&gt;190000000,190000000,F30-A44)</f>
        <v>0</v>
      </c>
      <c r="B45" s="7">
        <v>0.15</v>
      </c>
      <c r="C45" s="6">
        <f>A45*0.15</f>
        <v>0</v>
      </c>
      <c r="D45" s="13" t="s">
        <v>102</v>
      </c>
      <c r="F45" s="13"/>
      <c r="G45" s="13"/>
    </row>
    <row r="46" spans="1:11" x14ac:dyDescent="0.2">
      <c r="A46" s="10">
        <f>IF(F30-(A44+A45)&gt;250000000,250000000,F30-(A44+A45))</f>
        <v>0</v>
      </c>
      <c r="B46" s="7">
        <v>0.25</v>
      </c>
      <c r="C46" s="6">
        <f>A46*0.25</f>
        <v>0</v>
      </c>
      <c r="D46" s="13" t="s">
        <v>103</v>
      </c>
      <c r="E46" s="11"/>
      <c r="F46" s="14"/>
      <c r="G46" s="14"/>
    </row>
    <row r="47" spans="1:11" x14ac:dyDescent="0.2">
      <c r="A47" s="10">
        <f>IF(F30-(A44+A45+A46)&gt;4500000000,4500000000,F30-(A44+A45+A46))</f>
        <v>0</v>
      </c>
      <c r="B47" s="7">
        <v>0.3</v>
      </c>
      <c r="C47" s="6">
        <f>A47*B47</f>
        <v>0</v>
      </c>
      <c r="D47" s="13"/>
      <c r="F47" s="14"/>
      <c r="G47" s="14"/>
    </row>
    <row r="48" spans="1:11" s="65" customFormat="1" x14ac:dyDescent="0.2">
      <c r="A48" s="10">
        <f>IF(F30-(A44+A45+A46+A47)&gt;1,F30-(A44+A45+A46+A47),0)</f>
        <v>0</v>
      </c>
      <c r="B48" s="7">
        <v>0.35</v>
      </c>
      <c r="C48" s="6">
        <f>B48*A48</f>
        <v>0</v>
      </c>
      <c r="D48" s="13"/>
      <c r="F48" s="14"/>
      <c r="G48" s="14"/>
    </row>
    <row r="49" spans="1:10" x14ac:dyDescent="0.2">
      <c r="A49" s="10"/>
      <c r="B49" s="7"/>
      <c r="C49" s="6">
        <f>A49*0.35</f>
        <v>0</v>
      </c>
      <c r="F49" s="14"/>
      <c r="G49" s="14"/>
    </row>
    <row r="50" spans="1:10" x14ac:dyDescent="0.2">
      <c r="A50" s="71" t="s">
        <v>22</v>
      </c>
      <c r="B50" s="72"/>
      <c r="C50" s="8">
        <f>SUM(C44:C49)</f>
        <v>195700</v>
      </c>
      <c r="D50" s="38" t="s">
        <v>99</v>
      </c>
      <c r="F50" s="14"/>
      <c r="G50" s="14"/>
    </row>
    <row r="51" spans="1:10" x14ac:dyDescent="0.2">
      <c r="D51" s="47" t="s">
        <v>100</v>
      </c>
      <c r="F51" s="14"/>
      <c r="G51" s="14"/>
      <c r="J51" s="12"/>
    </row>
    <row r="52" spans="1:10" x14ac:dyDescent="0.2">
      <c r="D52" s="47" t="s">
        <v>101</v>
      </c>
      <c r="F52" s="14"/>
      <c r="G52" s="14"/>
    </row>
    <row r="53" spans="1:10" x14ac:dyDescent="0.2">
      <c r="D53" s="13" t="s">
        <v>102</v>
      </c>
    </row>
    <row r="54" spans="1:10" x14ac:dyDescent="0.2">
      <c r="D54" s="13" t="s">
        <v>103</v>
      </c>
    </row>
    <row r="55" spans="1:10" x14ac:dyDescent="0.2">
      <c r="D55" s="13" t="s">
        <v>104</v>
      </c>
    </row>
  </sheetData>
  <autoFilter ref="A27:F40" xr:uid="{00000000-0009-0000-0000-000000000000}"/>
  <mergeCells count="7">
    <mergeCell ref="A50:B50"/>
    <mergeCell ref="A8:F8"/>
    <mergeCell ref="H8:I8"/>
    <mergeCell ref="D36:F36"/>
    <mergeCell ref="B2:D2"/>
    <mergeCell ref="A35:B35"/>
    <mergeCell ref="D35:E35"/>
  </mergeCells>
  <pageMargins left="0.75" right="0.75" top="1" bottom="1" header="0.5" footer="0.5"/>
  <pageSetup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8"/>
  <sheetViews>
    <sheetView zoomScale="85" zoomScaleNormal="85" zoomScalePageLayoutView="85" workbookViewId="0">
      <selection activeCell="H15" sqref="H15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16.28515625" style="34" customWidth="1"/>
    <col min="7" max="7" width="15.42578125" style="34" customWidth="1"/>
    <col min="8" max="8" width="14.42578125" style="34" customWidth="1"/>
    <col min="9" max="9" width="8.85546875" style="34"/>
    <col min="10" max="10" width="12" style="34" customWidth="1"/>
    <col min="11" max="11" width="12.7109375" style="34" bestFit="1" customWidth="1"/>
    <col min="12" max="12" width="10.7109375" style="34" customWidth="1"/>
    <col min="13" max="13" width="12.7109375" style="34" bestFit="1" customWidth="1"/>
    <col min="14" max="14" width="10.7109375" style="34" customWidth="1"/>
    <col min="15" max="16384" width="8.85546875" style="34"/>
  </cols>
  <sheetData>
    <row r="1" spans="1:9" x14ac:dyDescent="0.2">
      <c r="A1" s="2" t="s">
        <v>24</v>
      </c>
      <c r="B1" s="16" t="s">
        <v>59</v>
      </c>
    </row>
    <row r="2" spans="1:9" x14ac:dyDescent="0.2">
      <c r="A2" s="2" t="s">
        <v>10</v>
      </c>
      <c r="B2" s="75" t="s">
        <v>60</v>
      </c>
      <c r="C2" s="76"/>
      <c r="D2" s="76"/>
    </row>
    <row r="3" spans="1:9" x14ac:dyDescent="0.2">
      <c r="A3" s="2" t="s">
        <v>56</v>
      </c>
      <c r="B3" s="24">
        <v>1</v>
      </c>
    </row>
    <row r="4" spans="1:9" x14ac:dyDescent="0.2">
      <c r="A4" s="2" t="s">
        <v>57</v>
      </c>
      <c r="B4" s="2">
        <v>12</v>
      </c>
    </row>
    <row r="5" spans="1:9" x14ac:dyDescent="0.2">
      <c r="A5" s="2" t="s">
        <v>6</v>
      </c>
      <c r="B5" s="2">
        <v>10</v>
      </c>
      <c r="C5" s="33">
        <v>2013</v>
      </c>
    </row>
    <row r="6" spans="1:9" x14ac:dyDescent="0.2">
      <c r="A6" s="32" t="s">
        <v>58</v>
      </c>
      <c r="B6" s="2">
        <f>B5+1-B3</f>
        <v>10</v>
      </c>
      <c r="C6" s="3"/>
    </row>
    <row r="8" spans="1:9" x14ac:dyDescent="0.2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9" x14ac:dyDescent="0.2">
      <c r="A9" s="54"/>
      <c r="B9" s="21"/>
      <c r="C9" s="21"/>
      <c r="D9" s="21"/>
      <c r="E9" s="21"/>
      <c r="F9" s="21"/>
      <c r="H9" s="22"/>
    </row>
    <row r="10" spans="1:9" x14ac:dyDescent="0.2">
      <c r="A10" s="54"/>
      <c r="B10" s="21"/>
      <c r="C10" s="21"/>
      <c r="D10" s="21"/>
      <c r="E10" s="21"/>
      <c r="F10" s="21"/>
      <c r="H10" s="22"/>
    </row>
    <row r="11" spans="1:9" x14ac:dyDescent="0.2">
      <c r="A11" s="54"/>
      <c r="B11" s="21"/>
      <c r="C11" s="21"/>
      <c r="D11" s="21"/>
      <c r="E11" s="21"/>
      <c r="F11" s="21"/>
      <c r="H11" s="22"/>
    </row>
    <row r="12" spans="1:9" x14ac:dyDescent="0.2">
      <c r="A12" s="54"/>
      <c r="B12" s="21"/>
      <c r="C12" s="21"/>
      <c r="D12" s="21"/>
      <c r="E12" s="21"/>
      <c r="F12" s="21"/>
      <c r="H12" s="22"/>
    </row>
    <row r="13" spans="1:9" x14ac:dyDescent="0.2">
      <c r="A13" s="54"/>
      <c r="B13" s="21"/>
      <c r="C13" s="21"/>
      <c r="D13" s="21"/>
      <c r="E13" s="21"/>
      <c r="F13" s="21"/>
      <c r="H13" s="22"/>
      <c r="I13" s="5"/>
    </row>
    <row r="14" spans="1:9" x14ac:dyDescent="0.2">
      <c r="A14" s="21"/>
      <c r="B14" s="21"/>
      <c r="C14" s="21"/>
      <c r="D14" s="21"/>
      <c r="E14" s="21"/>
      <c r="F14" s="21"/>
      <c r="H14" s="22"/>
    </row>
    <row r="15" spans="1:9" x14ac:dyDescent="0.2">
      <c r="A15" s="21"/>
      <c r="B15" s="21"/>
      <c r="C15" s="21"/>
      <c r="D15" s="21"/>
      <c r="E15" s="21"/>
      <c r="F15" s="21"/>
      <c r="H15" s="22"/>
    </row>
    <row r="16" spans="1:9" x14ac:dyDescent="0.2">
      <c r="A16" s="8">
        <f t="shared" ref="A16:F16" si="0">SUM(A9:A15)</f>
        <v>0</v>
      </c>
      <c r="B16" s="8">
        <f t="shared" si="0"/>
        <v>0</v>
      </c>
      <c r="C16" s="8">
        <f t="shared" si="0"/>
        <v>0</v>
      </c>
      <c r="D16" s="8">
        <f t="shared" si="0"/>
        <v>0</v>
      </c>
      <c r="E16" s="8">
        <f>SUM(E9:E15)</f>
        <v>0</v>
      </c>
      <c r="F16" s="8">
        <f t="shared" si="0"/>
        <v>0</v>
      </c>
      <c r="G16" s="19"/>
      <c r="H16" s="22"/>
    </row>
    <row r="17" spans="1:14" x14ac:dyDescent="0.2">
      <c r="A17" s="3"/>
      <c r="B17" s="3"/>
      <c r="C17" s="3"/>
      <c r="D17" s="3"/>
      <c r="E17" s="3"/>
      <c r="F17" s="3"/>
    </row>
    <row r="18" spans="1:14" x14ac:dyDescent="0.2">
      <c r="A18" s="3"/>
      <c r="B18" s="3"/>
      <c r="C18" s="3"/>
      <c r="D18" s="3"/>
      <c r="E18" s="3"/>
      <c r="F18" s="3"/>
      <c r="J18" s="29" t="s">
        <v>38</v>
      </c>
      <c r="K18" s="29"/>
      <c r="L18" s="29"/>
      <c r="M18" s="29"/>
      <c r="N18" s="29"/>
    </row>
    <row r="19" spans="1:14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G19" s="1" t="s">
        <v>7</v>
      </c>
      <c r="H19" s="1" t="s">
        <v>8</v>
      </c>
      <c r="J19" s="25"/>
      <c r="K19" s="28" t="s">
        <v>37</v>
      </c>
      <c r="L19" s="28" t="s">
        <v>39</v>
      </c>
      <c r="M19" s="28" t="s">
        <v>43</v>
      </c>
      <c r="N19" s="28" t="s">
        <v>44</v>
      </c>
    </row>
    <row r="20" spans="1:14" x14ac:dyDescent="0.2">
      <c r="A20" s="6">
        <f>A16+C16+D16</f>
        <v>0</v>
      </c>
      <c r="B20" s="6">
        <f>B16+E16+F16</f>
        <v>0</v>
      </c>
      <c r="C20" s="6">
        <f>A20+B20</f>
        <v>0</v>
      </c>
      <c r="D20" s="6">
        <f>A20-H24-H26</f>
        <v>-4500000</v>
      </c>
      <c r="E20" s="6">
        <f>B20-H27</f>
        <v>0</v>
      </c>
      <c r="G20" s="2" t="s">
        <v>30</v>
      </c>
      <c r="H20" s="18"/>
      <c r="J20" s="27" t="s">
        <v>45</v>
      </c>
      <c r="K20" s="6">
        <f>'Tax Prove Jan'!D21</f>
        <v>6326231</v>
      </c>
      <c r="L20" s="6">
        <f>'Tax Prove Jan'!E21</f>
        <v>0</v>
      </c>
      <c r="M20" s="6">
        <f>'Tax Prove Jan'!E39</f>
        <v>16308</v>
      </c>
      <c r="N20" s="6">
        <f>'Tax Prove Jan'!E38</f>
        <v>0</v>
      </c>
    </row>
    <row r="21" spans="1:14" x14ac:dyDescent="0.2">
      <c r="G21" s="2" t="s">
        <v>31</v>
      </c>
      <c r="H21" s="54"/>
      <c r="J21" s="27" t="s">
        <v>46</v>
      </c>
      <c r="K21" s="6">
        <f>'Tax Prove Feb'!D21</f>
        <v>6326231</v>
      </c>
      <c r="L21" s="6">
        <f>'Tax Prove Feb'!E21</f>
        <v>598452</v>
      </c>
      <c r="M21" s="6">
        <f>'Tax Prove Feb'!E39</f>
        <v>16308</v>
      </c>
      <c r="N21" s="6">
        <f>'Tax Prove Feb'!E38</f>
        <v>29950</v>
      </c>
    </row>
    <row r="22" spans="1:14" x14ac:dyDescent="0.2">
      <c r="A22" s="1" t="s">
        <v>36</v>
      </c>
      <c r="B22" s="1" t="s">
        <v>35</v>
      </c>
      <c r="C22" s="1" t="s">
        <v>34</v>
      </c>
      <c r="D22" s="1" t="s">
        <v>33</v>
      </c>
      <c r="E22" s="1" t="s">
        <v>32</v>
      </c>
      <c r="F22" s="1" t="s">
        <v>61</v>
      </c>
      <c r="G22" s="2"/>
      <c r="H22" s="32">
        <v>4500000</v>
      </c>
      <c r="J22" s="27" t="s">
        <v>40</v>
      </c>
      <c r="K22" s="6">
        <f>'Tax Prove Mar'!D22</f>
        <v>6326232</v>
      </c>
      <c r="L22" s="6">
        <f>'Tax Prove Mar'!E22</f>
        <v>249327</v>
      </c>
      <c r="M22" s="6">
        <f>'Tax Prove Mar'!E40</f>
        <v>16309</v>
      </c>
      <c r="N22" s="6">
        <f>'Tax Prove Mar'!E39</f>
        <v>12450</v>
      </c>
    </row>
    <row r="23" spans="1:14" x14ac:dyDescent="0.2">
      <c r="A23" s="6">
        <f>(D20+K32)*B4/B6</f>
        <v>20047668</v>
      </c>
      <c r="B23" s="6">
        <f>E20+L32</f>
        <v>9638204</v>
      </c>
      <c r="C23" s="6">
        <f>A23+B23</f>
        <v>29685872</v>
      </c>
      <c r="D23" s="42">
        <f>'Tax Prove Jan'!D25</f>
        <v>72000000</v>
      </c>
      <c r="E23" s="6">
        <f>C23-D23</f>
        <v>-42314128</v>
      </c>
      <c r="F23" s="6">
        <f>E23-B23</f>
        <v>-51952332</v>
      </c>
      <c r="G23" s="2"/>
      <c r="H23" s="9"/>
      <c r="J23" s="27" t="s">
        <v>41</v>
      </c>
      <c r="K23" s="6">
        <f>'Tax Prove Apr'!D22</f>
        <v>6326231</v>
      </c>
      <c r="L23" s="6">
        <f>'Tax Prove Apr'!E22</f>
        <v>5627429</v>
      </c>
      <c r="M23" s="6">
        <f>'Tax Prove Apr'!E40</f>
        <v>16308</v>
      </c>
      <c r="N23" s="6">
        <f>'Tax Prove Apr'!E39</f>
        <v>281350</v>
      </c>
    </row>
    <row r="24" spans="1:14" x14ac:dyDescent="0.2">
      <c r="A24" s="3"/>
      <c r="B24" s="3"/>
      <c r="C24" s="3"/>
      <c r="D24" s="3"/>
      <c r="E24" s="3"/>
      <c r="G24" s="4" t="s">
        <v>9</v>
      </c>
      <c r="H24" s="8">
        <f>SUM(H20:H22)</f>
        <v>4500000</v>
      </c>
      <c r="J24" s="27" t="s">
        <v>42</v>
      </c>
      <c r="K24" s="6">
        <f>'Tax Prove Mei'!D21</f>
        <v>401465</v>
      </c>
      <c r="L24" s="6">
        <f>'Tax Prove Mei'!E21</f>
        <v>3162996</v>
      </c>
      <c r="M24" s="6">
        <f>'Tax Prove Mei'!E39</f>
        <v>201996</v>
      </c>
      <c r="N24" s="6">
        <f>'Tax Prove Mei'!E38</f>
        <v>-323750</v>
      </c>
    </row>
    <row r="25" spans="1:14" x14ac:dyDescent="0.2">
      <c r="A25" s="34" t="s">
        <v>20</v>
      </c>
      <c r="E25" s="1" t="s">
        <v>55</v>
      </c>
      <c r="F25" s="1" t="s">
        <v>62</v>
      </c>
      <c r="G25" s="3"/>
      <c r="H25" s="3"/>
      <c r="J25" s="27" t="s">
        <v>47</v>
      </c>
      <c r="K25" s="6">
        <f>'Tax Prove Jun'!D21</f>
        <v>0</v>
      </c>
      <c r="L25" s="6">
        <f>'Tax Prove Jun'!E21</f>
        <v>0</v>
      </c>
      <c r="M25" s="6">
        <f>'Tax Prove Jun'!E39</f>
        <v>-781904</v>
      </c>
      <c r="N25" s="6">
        <f>'Tax Prove Jun'!E38</f>
        <v>481900</v>
      </c>
    </row>
    <row r="26" spans="1:14" x14ac:dyDescent="0.2">
      <c r="A26" s="1" t="s">
        <v>12</v>
      </c>
      <c r="B26" s="1" t="s">
        <v>13</v>
      </c>
      <c r="C26" s="1" t="s">
        <v>8</v>
      </c>
      <c r="D26" s="13"/>
      <c r="E26" s="6">
        <f>E23/1000</f>
        <v>-42314.127999999997</v>
      </c>
      <c r="F26" s="6">
        <f>F23/1000</f>
        <v>-51952.332000000002</v>
      </c>
      <c r="G26" s="1" t="s">
        <v>11</v>
      </c>
      <c r="H26" s="6">
        <f>IF(A20*5%&gt;500000,500000,A20*5%)</f>
        <v>0</v>
      </c>
      <c r="J26" s="27" t="s">
        <v>48</v>
      </c>
      <c r="K26" s="6">
        <f>'Tax Prove Jul'!D21</f>
        <v>0</v>
      </c>
      <c r="L26" s="6">
        <f>'Tax Prove Jul'!E21</f>
        <v>0</v>
      </c>
      <c r="M26" s="6">
        <f>'Tax Prove Jul'!E39</f>
        <v>-299979</v>
      </c>
      <c r="N26" s="6">
        <f>'Tax Prove Jul'!E38</f>
        <v>0</v>
      </c>
    </row>
    <row r="27" spans="1:14" x14ac:dyDescent="0.2">
      <c r="A27" s="10">
        <f>IF(E28&gt;60000000,60000000,E28)</f>
        <v>-42314000</v>
      </c>
      <c r="B27" s="7">
        <v>0.05</v>
      </c>
      <c r="C27" s="6">
        <f>A27*B27</f>
        <v>-2115700</v>
      </c>
      <c r="D27" s="14"/>
      <c r="E27" s="32">
        <f>ROUND(E26,0)</f>
        <v>-42314</v>
      </c>
      <c r="F27" s="32">
        <f>ROUND(F26,0)</f>
        <v>-51952</v>
      </c>
      <c r="G27" s="1" t="s">
        <v>19</v>
      </c>
      <c r="H27" s="21"/>
      <c r="J27" s="27" t="s">
        <v>49</v>
      </c>
      <c r="K27" s="6">
        <f>'Tax Prove Agt'!D20</f>
        <v>-4500000</v>
      </c>
      <c r="L27" s="6">
        <f>'Tax Prove Agt'!E20</f>
        <v>0</v>
      </c>
      <c r="M27" s="6">
        <f>'Tax Prove Agt'!E35</f>
        <v>-525012.66666666651</v>
      </c>
      <c r="N27" s="6">
        <f>'Tax Prove Agt'!E34</f>
        <v>0</v>
      </c>
    </row>
    <row r="28" spans="1:14" x14ac:dyDescent="0.2">
      <c r="A28" s="10">
        <f>IF(E28-A27&gt;190000000,190000000,E28-A27)</f>
        <v>0</v>
      </c>
      <c r="B28" s="7">
        <v>0.15</v>
      </c>
      <c r="C28" s="6">
        <f>A28*B28</f>
        <v>0</v>
      </c>
      <c r="D28" s="14"/>
      <c r="E28" s="31">
        <f>E27*1000</f>
        <v>-42314000</v>
      </c>
      <c r="F28" s="31">
        <f>F27*1000</f>
        <v>-51952000</v>
      </c>
      <c r="J28" s="27" t="s">
        <v>50</v>
      </c>
      <c r="K28" s="6">
        <f>'Tax Prove Sep'!D20</f>
        <v>0</v>
      </c>
      <c r="L28" s="6">
        <f>'Tax Prove Sep'!E20</f>
        <v>0</v>
      </c>
      <c r="M28" s="6">
        <f>'Tax Prove Sep'!E35</f>
        <v>-300020.83333333349</v>
      </c>
      <c r="N28" s="6">
        <f>'Tax Prove Sep'!E34</f>
        <v>0</v>
      </c>
    </row>
    <row r="29" spans="1:14" x14ac:dyDescent="0.2">
      <c r="A29" s="10">
        <f>IF(E28-(A27+A28)&gt;250000000,250000000,E28-(A27+A28))</f>
        <v>0</v>
      </c>
      <c r="B29" s="7">
        <v>0.25</v>
      </c>
      <c r="C29" s="6">
        <f>A29*B29</f>
        <v>0</v>
      </c>
      <c r="D29" s="14"/>
      <c r="E29" s="30"/>
      <c r="F29" s="3"/>
      <c r="J29" s="27" t="s">
        <v>51</v>
      </c>
      <c r="K29" s="2"/>
      <c r="L29" s="2"/>
      <c r="M29" s="2"/>
      <c r="N29" s="2"/>
    </row>
    <row r="30" spans="1:14" x14ac:dyDescent="0.2">
      <c r="A30" s="10">
        <f>IF(E28-(A27+A28+A29)&gt;4500000000,4500000000,E28-(A27+A28+A29))</f>
        <v>0</v>
      </c>
      <c r="B30" s="7">
        <v>0.3</v>
      </c>
      <c r="C30" s="6">
        <f>A30*B30</f>
        <v>0</v>
      </c>
      <c r="D30" s="14"/>
      <c r="E30" s="30"/>
      <c r="F30" s="3"/>
      <c r="J30" s="27" t="s">
        <v>52</v>
      </c>
      <c r="K30" s="2"/>
      <c r="L30" s="2"/>
      <c r="M30" s="2"/>
      <c r="N30" s="2"/>
    </row>
    <row r="31" spans="1:14" x14ac:dyDescent="0.2">
      <c r="A31" s="10">
        <f>IF(E28-(A27+A28+A29+A30)&gt;1,E28-(A27+A28+A29+A30),0)</f>
        <v>0</v>
      </c>
      <c r="B31" s="7">
        <v>0.35</v>
      </c>
      <c r="C31" s="6">
        <f>A31*B31</f>
        <v>0</v>
      </c>
      <c r="D31" s="14"/>
      <c r="E31" s="15"/>
      <c r="F31" s="3"/>
      <c r="J31" s="27" t="s">
        <v>53</v>
      </c>
      <c r="K31" s="2"/>
      <c r="L31" s="2"/>
      <c r="M31" s="2"/>
      <c r="N31" s="2"/>
    </row>
    <row r="32" spans="1:14" x14ac:dyDescent="0.2">
      <c r="A32" s="10"/>
      <c r="B32" s="7"/>
      <c r="C32" s="6">
        <f>A32*0.35</f>
        <v>0</v>
      </c>
      <c r="D32" s="78"/>
      <c r="E32" s="78"/>
      <c r="F32" s="3"/>
      <c r="J32" s="26" t="s">
        <v>54</v>
      </c>
      <c r="K32" s="31">
        <f>SUM(K20:K31)</f>
        <v>21206390</v>
      </c>
      <c r="L32" s="31">
        <f>SUM(L20:L31)</f>
        <v>9638204</v>
      </c>
      <c r="M32" s="31">
        <f>SUM(M20:M31)</f>
        <v>-1639687.5</v>
      </c>
      <c r="N32" s="31">
        <f>SUM(N20:N31)</f>
        <v>481900</v>
      </c>
    </row>
    <row r="33" spans="1:9" x14ac:dyDescent="0.2">
      <c r="A33" s="71" t="s">
        <v>14</v>
      </c>
      <c r="B33" s="72"/>
      <c r="C33" s="8">
        <f>SUM(C27:C32)</f>
        <v>-2115700</v>
      </c>
    </row>
    <row r="34" spans="1:9" x14ac:dyDescent="0.2">
      <c r="D34" s="1" t="s">
        <v>17</v>
      </c>
      <c r="E34" s="6">
        <f>C33-B36-N32</f>
        <v>0</v>
      </c>
    </row>
    <row r="35" spans="1:9" x14ac:dyDescent="0.2">
      <c r="A35" s="1" t="s">
        <v>15</v>
      </c>
      <c r="B35" s="6">
        <f>C33-C47</f>
        <v>481900</v>
      </c>
      <c r="C35" s="35"/>
      <c r="D35" s="1" t="s">
        <v>18</v>
      </c>
      <c r="E35" s="6">
        <f>B36*(B6/B4)-M32</f>
        <v>-524979.16666666698</v>
      </c>
    </row>
    <row r="36" spans="1:9" x14ac:dyDescent="0.2">
      <c r="A36" s="1" t="s">
        <v>16</v>
      </c>
      <c r="B36" s="6">
        <f>C47</f>
        <v>-2597600</v>
      </c>
      <c r="C36" s="35"/>
      <c r="D36" s="17" t="s">
        <v>23</v>
      </c>
      <c r="E36" s="6">
        <f>E34+E35</f>
        <v>-524979.16666666698</v>
      </c>
      <c r="G36" s="12"/>
    </row>
    <row r="37" spans="1:9" x14ac:dyDescent="0.2">
      <c r="A37" s="35"/>
      <c r="B37" s="35"/>
      <c r="C37" s="35"/>
      <c r="D37" s="35"/>
      <c r="E37" s="35"/>
      <c r="F37" s="13"/>
    </row>
    <row r="38" spans="1:9" x14ac:dyDescent="0.2">
      <c r="A38" s="35"/>
      <c r="B38" s="35"/>
      <c r="C38" s="35"/>
      <c r="D38" s="35"/>
      <c r="E38" s="35"/>
      <c r="F38" s="13"/>
    </row>
    <row r="39" spans="1:9" x14ac:dyDescent="0.2">
      <c r="A39" s="35" t="s">
        <v>21</v>
      </c>
      <c r="B39" s="35"/>
      <c r="C39" s="35"/>
      <c r="D39" s="35"/>
      <c r="E39" s="20"/>
      <c r="F39" s="13"/>
    </row>
    <row r="40" spans="1:9" x14ac:dyDescent="0.2">
      <c r="A40" s="1" t="s">
        <v>12</v>
      </c>
      <c r="B40" s="1" t="s">
        <v>13</v>
      </c>
      <c r="C40" s="1" t="s">
        <v>8</v>
      </c>
      <c r="D40" s="35"/>
      <c r="E40" s="35"/>
      <c r="F40" s="13"/>
    </row>
    <row r="41" spans="1:9" x14ac:dyDescent="0.2">
      <c r="A41" s="10">
        <f>IF(F28&gt;60000000,60000000,F28)</f>
        <v>-51952000</v>
      </c>
      <c r="B41" s="7">
        <v>0.05</v>
      </c>
      <c r="C41" s="6">
        <f>A41*B41</f>
        <v>-2597600</v>
      </c>
      <c r="D41" s="35"/>
      <c r="E41" s="35"/>
      <c r="F41" s="13"/>
    </row>
    <row r="42" spans="1:9" x14ac:dyDescent="0.2">
      <c r="A42" s="10">
        <f>IF(F28-A41&gt;190000000,190000000,F28-A41)</f>
        <v>0</v>
      </c>
      <c r="B42" s="7">
        <v>0.15</v>
      </c>
      <c r="C42" s="6">
        <f t="shared" ref="C42:C45" si="1">A42*B42</f>
        <v>0</v>
      </c>
      <c r="D42" s="35"/>
      <c r="E42" s="11"/>
      <c r="F42" s="14"/>
    </row>
    <row r="43" spans="1:9" x14ac:dyDescent="0.2">
      <c r="A43" s="10">
        <f>IF(F28-(A41+A42)&gt;250000000,250000000,F28-(A41+A42))</f>
        <v>0</v>
      </c>
      <c r="B43" s="7">
        <v>0.25</v>
      </c>
      <c r="C43" s="6">
        <f t="shared" si="1"/>
        <v>0</v>
      </c>
      <c r="D43" s="35"/>
      <c r="E43" s="35"/>
      <c r="F43" s="14"/>
    </row>
    <row r="44" spans="1:9" x14ac:dyDescent="0.2">
      <c r="A44" s="10">
        <f>IF(F28-(A41+A42+A43)&gt;4500000000,4500000000,F28-(A41+A42+A43))</f>
        <v>0</v>
      </c>
      <c r="B44" s="7">
        <v>0.3</v>
      </c>
      <c r="C44" s="6">
        <f t="shared" si="1"/>
        <v>0</v>
      </c>
      <c r="D44" s="35"/>
      <c r="E44" s="35"/>
      <c r="F44" s="14"/>
    </row>
    <row r="45" spans="1:9" s="65" customFormat="1" x14ac:dyDescent="0.2">
      <c r="A45" s="10">
        <f>IF(F28-(A41+A42+A43+A44)&gt;1,F28-(A41+A42+A43+A44),0)</f>
        <v>0</v>
      </c>
      <c r="B45" s="7">
        <v>0.35</v>
      </c>
      <c r="C45" s="6">
        <f t="shared" si="1"/>
        <v>0</v>
      </c>
      <c r="F45" s="14"/>
    </row>
    <row r="46" spans="1:9" x14ac:dyDescent="0.2">
      <c r="A46" s="10"/>
      <c r="B46" s="7"/>
      <c r="C46" s="6">
        <f>A46*0.35</f>
        <v>0</v>
      </c>
      <c r="D46" s="35"/>
      <c r="E46" s="35"/>
      <c r="F46" s="14"/>
    </row>
    <row r="47" spans="1:9" x14ac:dyDescent="0.2">
      <c r="A47" s="71" t="s">
        <v>22</v>
      </c>
      <c r="B47" s="72"/>
      <c r="C47" s="8">
        <f>SUM(C41:C46)</f>
        <v>-2597600</v>
      </c>
      <c r="F47" s="14"/>
      <c r="I47" s="12"/>
    </row>
    <row r="48" spans="1:9" x14ac:dyDescent="0.2">
      <c r="F48" s="14"/>
    </row>
  </sheetData>
  <mergeCells count="4">
    <mergeCell ref="B2:D2"/>
    <mergeCell ref="A33:B33"/>
    <mergeCell ref="D32:E32"/>
    <mergeCell ref="A47:B47"/>
  </mergeCells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8"/>
  <sheetViews>
    <sheetView zoomScale="85" zoomScaleNormal="85" zoomScalePageLayoutView="85" workbookViewId="0">
      <selection activeCell="J9" sqref="J9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16.28515625" style="34" customWidth="1"/>
    <col min="7" max="7" width="15.42578125" style="34" customWidth="1"/>
    <col min="8" max="8" width="14.42578125" style="34" customWidth="1"/>
    <col min="9" max="9" width="8.85546875" style="34"/>
    <col min="10" max="10" width="12" style="34" customWidth="1"/>
    <col min="11" max="11" width="12.7109375" style="34" bestFit="1" customWidth="1"/>
    <col min="12" max="12" width="10.7109375" style="34" customWidth="1"/>
    <col min="13" max="13" width="12.7109375" style="34" bestFit="1" customWidth="1"/>
    <col min="14" max="14" width="10.7109375" style="34" customWidth="1"/>
    <col min="15" max="16384" width="8.85546875" style="34"/>
  </cols>
  <sheetData>
    <row r="1" spans="1:9" x14ac:dyDescent="0.2">
      <c r="A1" s="2" t="s">
        <v>24</v>
      </c>
      <c r="B1" s="16" t="s">
        <v>59</v>
      </c>
    </row>
    <row r="2" spans="1:9" x14ac:dyDescent="0.2">
      <c r="A2" s="2" t="s">
        <v>10</v>
      </c>
      <c r="B2" s="75" t="s">
        <v>60</v>
      </c>
      <c r="C2" s="76"/>
      <c r="D2" s="76"/>
    </row>
    <row r="3" spans="1:9" x14ac:dyDescent="0.2">
      <c r="A3" s="2" t="s">
        <v>56</v>
      </c>
      <c r="B3" s="24">
        <v>1</v>
      </c>
    </row>
    <row r="4" spans="1:9" x14ac:dyDescent="0.2">
      <c r="A4" s="2" t="s">
        <v>57</v>
      </c>
      <c r="B4" s="2">
        <v>12</v>
      </c>
    </row>
    <row r="5" spans="1:9" x14ac:dyDescent="0.2">
      <c r="A5" s="2" t="s">
        <v>6</v>
      </c>
      <c r="B5" s="2">
        <v>11</v>
      </c>
      <c r="C5" s="33">
        <v>2013</v>
      </c>
    </row>
    <row r="6" spans="1:9" x14ac:dyDescent="0.2">
      <c r="A6" s="32" t="s">
        <v>58</v>
      </c>
      <c r="B6" s="2">
        <f>B5+1-B3</f>
        <v>11</v>
      </c>
      <c r="C6" s="3"/>
    </row>
    <row r="8" spans="1:9" x14ac:dyDescent="0.2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9" x14ac:dyDescent="0.2">
      <c r="A9" s="54"/>
      <c r="B9" s="21"/>
      <c r="C9" s="21"/>
      <c r="D9" s="21"/>
      <c r="E9" s="21"/>
      <c r="F9" s="21"/>
      <c r="H9" s="22"/>
    </row>
    <row r="10" spans="1:9" x14ac:dyDescent="0.2">
      <c r="A10" s="54"/>
      <c r="B10" s="21"/>
      <c r="C10" s="21"/>
      <c r="D10" s="21"/>
      <c r="E10" s="21"/>
      <c r="F10" s="21"/>
      <c r="H10" s="22"/>
    </row>
    <row r="11" spans="1:9" x14ac:dyDescent="0.2">
      <c r="A11" s="54"/>
      <c r="B11" s="21"/>
      <c r="C11" s="21"/>
      <c r="D11" s="21"/>
      <c r="E11" s="21"/>
      <c r="F11" s="21"/>
      <c r="H11" s="22"/>
    </row>
    <row r="12" spans="1:9" x14ac:dyDescent="0.2">
      <c r="A12" s="54"/>
      <c r="B12" s="21"/>
      <c r="C12" s="21"/>
      <c r="D12" s="21"/>
      <c r="E12" s="21"/>
      <c r="F12" s="21"/>
      <c r="H12" s="22"/>
    </row>
    <row r="13" spans="1:9" x14ac:dyDescent="0.2">
      <c r="A13" s="54"/>
      <c r="B13" s="21"/>
      <c r="C13" s="21"/>
      <c r="D13" s="21"/>
      <c r="E13" s="21"/>
      <c r="F13" s="21"/>
      <c r="H13" s="22"/>
      <c r="I13" s="5"/>
    </row>
    <row r="14" spans="1:9" x14ac:dyDescent="0.2">
      <c r="A14" s="21"/>
      <c r="B14" s="21"/>
      <c r="C14" s="21"/>
      <c r="D14" s="21"/>
      <c r="E14" s="21"/>
      <c r="F14" s="21"/>
      <c r="H14" s="22"/>
    </row>
    <row r="15" spans="1:9" x14ac:dyDescent="0.2">
      <c r="A15" s="21"/>
      <c r="B15" s="21"/>
      <c r="C15" s="21"/>
      <c r="D15" s="21"/>
      <c r="E15" s="21"/>
      <c r="F15" s="21"/>
      <c r="H15" s="22"/>
    </row>
    <row r="16" spans="1:9" x14ac:dyDescent="0.2">
      <c r="A16" s="8">
        <f t="shared" ref="A16:F16" si="0">SUM(A9:A15)</f>
        <v>0</v>
      </c>
      <c r="B16" s="8">
        <f t="shared" si="0"/>
        <v>0</v>
      </c>
      <c r="C16" s="8">
        <f t="shared" si="0"/>
        <v>0</v>
      </c>
      <c r="D16" s="8">
        <f t="shared" si="0"/>
        <v>0</v>
      </c>
      <c r="E16" s="8">
        <f>SUM(E9:E15)</f>
        <v>0</v>
      </c>
      <c r="F16" s="8">
        <f t="shared" si="0"/>
        <v>0</v>
      </c>
      <c r="G16" s="19"/>
      <c r="H16" s="22"/>
    </row>
    <row r="17" spans="1:14" x14ac:dyDescent="0.2">
      <c r="A17" s="3"/>
      <c r="B17" s="3"/>
      <c r="C17" s="3"/>
      <c r="D17" s="3"/>
      <c r="E17" s="3"/>
      <c r="F17" s="3"/>
    </row>
    <row r="18" spans="1:14" x14ac:dyDescent="0.2">
      <c r="A18" s="3"/>
      <c r="B18" s="3"/>
      <c r="C18" s="3"/>
      <c r="D18" s="3"/>
      <c r="E18" s="3"/>
      <c r="F18" s="3"/>
      <c r="J18" s="29" t="s">
        <v>38</v>
      </c>
      <c r="K18" s="29"/>
      <c r="L18" s="29"/>
      <c r="M18" s="29"/>
      <c r="N18" s="29"/>
    </row>
    <row r="19" spans="1:14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G19" s="1" t="s">
        <v>7</v>
      </c>
      <c r="H19" s="1" t="s">
        <v>8</v>
      </c>
      <c r="J19" s="25"/>
      <c r="K19" s="28" t="s">
        <v>37</v>
      </c>
      <c r="L19" s="28" t="s">
        <v>39</v>
      </c>
      <c r="M19" s="28" t="s">
        <v>43</v>
      </c>
      <c r="N19" s="28" t="s">
        <v>44</v>
      </c>
    </row>
    <row r="20" spans="1:14" x14ac:dyDescent="0.2">
      <c r="A20" s="6">
        <f>A16+C16+D16</f>
        <v>0</v>
      </c>
      <c r="B20" s="6">
        <f>B16+E16+F16</f>
        <v>0</v>
      </c>
      <c r="C20" s="6">
        <f>A20+B20</f>
        <v>0</v>
      </c>
      <c r="D20" s="6">
        <f>A20-H24-H26</f>
        <v>-4500000</v>
      </c>
      <c r="E20" s="6">
        <f>B20-H27</f>
        <v>0</v>
      </c>
      <c r="G20" s="2" t="s">
        <v>30</v>
      </c>
      <c r="H20" s="18"/>
      <c r="J20" s="27" t="s">
        <v>45</v>
      </c>
      <c r="K20" s="6">
        <f>'Tax Prove Jan'!D21</f>
        <v>6326231</v>
      </c>
      <c r="L20" s="6">
        <f>'Tax Prove Jan'!E21</f>
        <v>0</v>
      </c>
      <c r="M20" s="6">
        <f>'Tax Prove Jan'!E39</f>
        <v>16308</v>
      </c>
      <c r="N20" s="6">
        <f>'Tax Prove Jan'!E38</f>
        <v>0</v>
      </c>
    </row>
    <row r="21" spans="1:14" x14ac:dyDescent="0.2">
      <c r="G21" s="2" t="s">
        <v>31</v>
      </c>
      <c r="H21" s="54"/>
      <c r="J21" s="27" t="s">
        <v>46</v>
      </c>
      <c r="K21" s="6">
        <f>'Tax Prove Feb'!D21</f>
        <v>6326231</v>
      </c>
      <c r="L21" s="6">
        <f>'Tax Prove Feb'!E21</f>
        <v>598452</v>
      </c>
      <c r="M21" s="6">
        <f>'Tax Prove Feb'!E39</f>
        <v>16308</v>
      </c>
      <c r="N21" s="6">
        <f>'Tax Prove Feb'!E38</f>
        <v>29950</v>
      </c>
    </row>
    <row r="22" spans="1:14" x14ac:dyDescent="0.2">
      <c r="A22" s="1" t="s">
        <v>36</v>
      </c>
      <c r="B22" s="1" t="s">
        <v>35</v>
      </c>
      <c r="C22" s="1" t="s">
        <v>34</v>
      </c>
      <c r="D22" s="1" t="s">
        <v>33</v>
      </c>
      <c r="E22" s="1" t="s">
        <v>32</v>
      </c>
      <c r="F22" s="1" t="s">
        <v>61</v>
      </c>
      <c r="G22" s="2"/>
      <c r="H22" s="32">
        <v>4500000</v>
      </c>
      <c r="J22" s="27" t="s">
        <v>40</v>
      </c>
      <c r="K22" s="6">
        <f>'Tax Prove Mar'!D22</f>
        <v>6326232</v>
      </c>
      <c r="L22" s="6">
        <f>'Tax Prove Mar'!E22</f>
        <v>249327</v>
      </c>
      <c r="M22" s="6">
        <f>'Tax Prove Mar'!E40</f>
        <v>16309</v>
      </c>
      <c r="N22" s="6">
        <f>'Tax Prove Mar'!E39</f>
        <v>12450</v>
      </c>
    </row>
    <row r="23" spans="1:14" x14ac:dyDescent="0.2">
      <c r="A23" s="6">
        <f>(D20+K32)*B4/B6</f>
        <v>13316061.818181818</v>
      </c>
      <c r="B23" s="6">
        <f>E20+L32</f>
        <v>9638204</v>
      </c>
      <c r="C23" s="6">
        <f>A23+B23</f>
        <v>22954265.81818182</v>
      </c>
      <c r="D23" s="42">
        <f>'Tax Prove Jan'!D25</f>
        <v>72000000</v>
      </c>
      <c r="E23" s="6">
        <f>C23-D23</f>
        <v>-49045734.18181818</v>
      </c>
      <c r="F23" s="6">
        <f>E23-B23</f>
        <v>-58683938.18181818</v>
      </c>
      <c r="G23" s="2"/>
      <c r="H23" s="9"/>
      <c r="J23" s="27" t="s">
        <v>41</v>
      </c>
      <c r="K23" s="6">
        <f>'Tax Prove Apr'!D22</f>
        <v>6326231</v>
      </c>
      <c r="L23" s="6">
        <f>'Tax Prove Apr'!E22</f>
        <v>5627429</v>
      </c>
      <c r="M23" s="6">
        <f>'Tax Prove Apr'!E40</f>
        <v>16308</v>
      </c>
      <c r="N23" s="6">
        <f>'Tax Prove Apr'!E39</f>
        <v>281350</v>
      </c>
    </row>
    <row r="24" spans="1:14" x14ac:dyDescent="0.2">
      <c r="A24" s="3"/>
      <c r="B24" s="3"/>
      <c r="C24" s="3"/>
      <c r="D24" s="3"/>
      <c r="E24" s="3"/>
      <c r="F24" s="35"/>
      <c r="G24" s="4" t="s">
        <v>9</v>
      </c>
      <c r="H24" s="8">
        <f>SUM(H20:H22)</f>
        <v>4500000</v>
      </c>
      <c r="J24" s="27" t="s">
        <v>42</v>
      </c>
      <c r="K24" s="6">
        <f>'Tax Prove Mei'!D21</f>
        <v>401465</v>
      </c>
      <c r="L24" s="6">
        <f>'Tax Prove Mei'!E21</f>
        <v>3162996</v>
      </c>
      <c r="M24" s="6">
        <f>'Tax Prove Mei'!E39</f>
        <v>201996</v>
      </c>
      <c r="N24" s="6">
        <f>'Tax Prove Mei'!E38</f>
        <v>-323750</v>
      </c>
    </row>
    <row r="25" spans="1:14" x14ac:dyDescent="0.2">
      <c r="A25" s="34" t="s">
        <v>20</v>
      </c>
      <c r="E25" s="1" t="s">
        <v>55</v>
      </c>
      <c r="F25" s="1" t="s">
        <v>62</v>
      </c>
      <c r="G25" s="3"/>
      <c r="H25" s="3">
        <f>IF(A20*5%&gt;500000,500000,A20*5%)</f>
        <v>0</v>
      </c>
      <c r="J25" s="27" t="s">
        <v>47</v>
      </c>
      <c r="K25" s="6">
        <f>'Tax Prove Jun'!D21</f>
        <v>0</v>
      </c>
      <c r="L25" s="6">
        <f>'Tax Prove Jun'!E21</f>
        <v>0</v>
      </c>
      <c r="M25" s="6">
        <f>'Tax Prove Jun'!E39</f>
        <v>-781904</v>
      </c>
      <c r="N25" s="6">
        <f>'Tax Prove Jun'!E38</f>
        <v>481900</v>
      </c>
    </row>
    <row r="26" spans="1:14" x14ac:dyDescent="0.2">
      <c r="A26" s="1" t="s">
        <v>12</v>
      </c>
      <c r="B26" s="1" t="s">
        <v>13</v>
      </c>
      <c r="C26" s="1" t="s">
        <v>8</v>
      </c>
      <c r="D26" s="13"/>
      <c r="E26" s="6">
        <f>E23/1000</f>
        <v>-49045.734181818181</v>
      </c>
      <c r="F26" s="6">
        <f>F23/1000</f>
        <v>-58683.938181818179</v>
      </c>
      <c r="G26" s="1" t="s">
        <v>11</v>
      </c>
      <c r="H26" s="6">
        <f>A20*5%</f>
        <v>0</v>
      </c>
      <c r="J26" s="27" t="s">
        <v>48</v>
      </c>
      <c r="K26" s="6">
        <f>'Tax Prove Jul'!D21</f>
        <v>0</v>
      </c>
      <c r="L26" s="6">
        <f>'Tax Prove Jul'!E21</f>
        <v>0</v>
      </c>
      <c r="M26" s="6">
        <f>'Tax Prove Jul'!E39</f>
        <v>-299979</v>
      </c>
      <c r="N26" s="6">
        <f>'Tax Prove Jul'!E38</f>
        <v>0</v>
      </c>
    </row>
    <row r="27" spans="1:14" x14ac:dyDescent="0.2">
      <c r="A27" s="10">
        <f>IF(E28&gt;60000000,60000000,E28)</f>
        <v>-49046000</v>
      </c>
      <c r="B27" s="7">
        <v>0.05</v>
      </c>
      <c r="C27" s="6">
        <f>A27*B27</f>
        <v>-2452300</v>
      </c>
      <c r="D27" s="14"/>
      <c r="E27" s="32">
        <f>ROUND(E26,0)</f>
        <v>-49046</v>
      </c>
      <c r="F27" s="32">
        <f>ROUND(F26,0)</f>
        <v>-58684</v>
      </c>
      <c r="G27" s="1" t="s">
        <v>19</v>
      </c>
      <c r="H27" s="21"/>
      <c r="J27" s="27" t="s">
        <v>49</v>
      </c>
      <c r="K27" s="6">
        <f>'Tax Prove Agt'!D20</f>
        <v>-4500000</v>
      </c>
      <c r="L27" s="6">
        <f>'Tax Prove Agt'!E20</f>
        <v>0</v>
      </c>
      <c r="M27" s="6">
        <f>'Tax Prove Agt'!E35</f>
        <v>-525012.66666666651</v>
      </c>
      <c r="N27" s="6">
        <f>'Tax Prove Agt'!E34</f>
        <v>0</v>
      </c>
    </row>
    <row r="28" spans="1:14" x14ac:dyDescent="0.2">
      <c r="A28" s="10">
        <f>IF(E28-A27&gt;190000000,190000000,E28-A27)</f>
        <v>0</v>
      </c>
      <c r="B28" s="7">
        <v>0.15</v>
      </c>
      <c r="C28" s="6">
        <f>A28*B28</f>
        <v>0</v>
      </c>
      <c r="D28" s="14"/>
      <c r="E28" s="31">
        <f>E27*1000</f>
        <v>-49046000</v>
      </c>
      <c r="F28" s="31">
        <f>F27*1000</f>
        <v>-58684000</v>
      </c>
      <c r="J28" s="27" t="s">
        <v>50</v>
      </c>
      <c r="K28" s="6">
        <f>'Tax Prove Sep'!D20</f>
        <v>0</v>
      </c>
      <c r="L28" s="6">
        <f>'Tax Prove Sep'!E20</f>
        <v>0</v>
      </c>
      <c r="M28" s="6">
        <f>'Tax Prove Sep'!E35</f>
        <v>-300020.83333333349</v>
      </c>
      <c r="N28" s="6">
        <f>'Tax Prove Sep'!E34</f>
        <v>0</v>
      </c>
    </row>
    <row r="29" spans="1:14" x14ac:dyDescent="0.2">
      <c r="A29" s="10">
        <f>IF(E28-(A27+A28)&gt;250000000,250000000,E28-(A27+A28))</f>
        <v>0</v>
      </c>
      <c r="B29" s="7">
        <v>0.25</v>
      </c>
      <c r="C29" s="6">
        <f>A29*B29</f>
        <v>0</v>
      </c>
      <c r="D29" s="14"/>
      <c r="E29" s="30"/>
      <c r="F29" s="3"/>
      <c r="J29" s="27" t="s">
        <v>51</v>
      </c>
      <c r="K29" s="6">
        <f>'Tax Prove Okt'!D20</f>
        <v>-4500000</v>
      </c>
      <c r="L29" s="6">
        <f>'Tax Prove Okt'!E20</f>
        <v>0</v>
      </c>
      <c r="M29" s="6">
        <f>'Tax Prove Okt'!E35</f>
        <v>-524979.16666666698</v>
      </c>
      <c r="N29" s="6">
        <f>'Tax Prove Okt'!E34</f>
        <v>0</v>
      </c>
    </row>
    <row r="30" spans="1:14" x14ac:dyDescent="0.2">
      <c r="A30" s="10">
        <f>IF(E28-(A27+A28+A29)&gt;4500000000,4500000000,E28-(A27+A28+A29))</f>
        <v>0</v>
      </c>
      <c r="B30" s="7">
        <v>0.3</v>
      </c>
      <c r="C30" s="6">
        <f>A30*B30</f>
        <v>0</v>
      </c>
      <c r="D30" s="14"/>
      <c r="E30" s="30"/>
      <c r="F30" s="3"/>
      <c r="J30" s="27" t="s">
        <v>52</v>
      </c>
      <c r="K30" s="2"/>
      <c r="L30" s="2"/>
      <c r="M30" s="2"/>
      <c r="N30" s="2"/>
    </row>
    <row r="31" spans="1:14" x14ac:dyDescent="0.2">
      <c r="A31" s="10">
        <f>IF(E28-(A27+A28+A29+A30)&gt;1,E28-(A27+A28+A29+A30),0)</f>
        <v>0</v>
      </c>
      <c r="B31" s="7">
        <v>0.35</v>
      </c>
      <c r="C31" s="6">
        <f>A31*B31</f>
        <v>0</v>
      </c>
      <c r="D31" s="14"/>
      <c r="E31" s="15"/>
      <c r="F31" s="3"/>
      <c r="J31" s="27" t="s">
        <v>53</v>
      </c>
      <c r="K31" s="2"/>
      <c r="L31" s="2"/>
      <c r="M31" s="2"/>
      <c r="N31" s="2"/>
    </row>
    <row r="32" spans="1:14" x14ac:dyDescent="0.2">
      <c r="A32" s="10"/>
      <c r="B32" s="7"/>
      <c r="C32" s="6">
        <f>A32*0.35</f>
        <v>0</v>
      </c>
      <c r="D32" s="78"/>
      <c r="E32" s="78"/>
      <c r="F32" s="3"/>
      <c r="J32" s="26" t="s">
        <v>54</v>
      </c>
      <c r="K32" s="31">
        <f>SUM(K20:K31)</f>
        <v>16706390</v>
      </c>
      <c r="L32" s="31">
        <f>SUM(L20:L31)</f>
        <v>9638204</v>
      </c>
      <c r="M32" s="31">
        <f>SUM(M20:M31)</f>
        <v>-2164666.666666667</v>
      </c>
      <c r="N32" s="31">
        <f>SUM(N20:N31)</f>
        <v>481900</v>
      </c>
    </row>
    <row r="33" spans="1:9" x14ac:dyDescent="0.2">
      <c r="A33" s="71" t="s">
        <v>14</v>
      </c>
      <c r="B33" s="72"/>
      <c r="C33" s="8">
        <f>SUM(C27:C32)</f>
        <v>-2452300</v>
      </c>
    </row>
    <row r="34" spans="1:9" x14ac:dyDescent="0.2">
      <c r="D34" s="1" t="s">
        <v>17</v>
      </c>
      <c r="E34" s="6">
        <f>C33-B36-N32</f>
        <v>0</v>
      </c>
    </row>
    <row r="35" spans="1:9" x14ac:dyDescent="0.2">
      <c r="A35" s="1" t="s">
        <v>15</v>
      </c>
      <c r="B35" s="6">
        <f>C33-C47</f>
        <v>481900</v>
      </c>
      <c r="C35" s="35"/>
      <c r="D35" s="1" t="s">
        <v>18</v>
      </c>
      <c r="E35" s="6">
        <f>B36*(B6/B4)-M32</f>
        <v>-525016.66666666605</v>
      </c>
    </row>
    <row r="36" spans="1:9" x14ac:dyDescent="0.2">
      <c r="A36" s="1" t="s">
        <v>16</v>
      </c>
      <c r="B36" s="6">
        <f>C47</f>
        <v>-2934200</v>
      </c>
      <c r="C36" s="35"/>
      <c r="D36" s="17" t="s">
        <v>23</v>
      </c>
      <c r="E36" s="6">
        <f>E34+E35</f>
        <v>-525016.66666666605</v>
      </c>
      <c r="G36" s="12"/>
    </row>
    <row r="37" spans="1:9" x14ac:dyDescent="0.2">
      <c r="A37" s="35"/>
      <c r="B37" s="35"/>
      <c r="C37" s="35"/>
      <c r="D37" s="35"/>
      <c r="E37" s="35"/>
      <c r="F37" s="13"/>
    </row>
    <row r="38" spans="1:9" x14ac:dyDescent="0.2">
      <c r="A38" s="35"/>
      <c r="B38" s="35"/>
      <c r="C38" s="35"/>
      <c r="D38" s="35"/>
      <c r="E38" s="35"/>
      <c r="F38" s="13"/>
    </row>
    <row r="39" spans="1:9" x14ac:dyDescent="0.2">
      <c r="A39" s="35" t="s">
        <v>21</v>
      </c>
      <c r="B39" s="35"/>
      <c r="C39" s="35"/>
      <c r="D39" s="35"/>
      <c r="E39" s="20"/>
      <c r="F39" s="13"/>
    </row>
    <row r="40" spans="1:9" x14ac:dyDescent="0.2">
      <c r="A40" s="1" t="s">
        <v>12</v>
      </c>
      <c r="B40" s="1" t="s">
        <v>13</v>
      </c>
      <c r="C40" s="1" t="s">
        <v>8</v>
      </c>
      <c r="D40" s="35"/>
      <c r="E40" s="35"/>
      <c r="F40" s="13"/>
    </row>
    <row r="41" spans="1:9" x14ac:dyDescent="0.2">
      <c r="A41" s="10">
        <f>IF(F28&gt;60000000,60000000,F28)</f>
        <v>-58684000</v>
      </c>
      <c r="B41" s="7">
        <v>0.05</v>
      </c>
      <c r="C41" s="6">
        <f>A41*B41</f>
        <v>-2934200</v>
      </c>
      <c r="D41" s="35"/>
      <c r="E41" s="35"/>
      <c r="F41" s="13"/>
    </row>
    <row r="42" spans="1:9" x14ac:dyDescent="0.2">
      <c r="A42" s="10">
        <f>IF(F28-A41&gt;190000000,190000000,F28-A41)</f>
        <v>0</v>
      </c>
      <c r="B42" s="7">
        <v>0.15</v>
      </c>
      <c r="C42" s="6">
        <f t="shared" ref="C42:C45" si="1">A42*B42</f>
        <v>0</v>
      </c>
      <c r="D42" s="35"/>
      <c r="E42" s="11"/>
      <c r="F42" s="14"/>
    </row>
    <row r="43" spans="1:9" x14ac:dyDescent="0.2">
      <c r="A43" s="10">
        <f>IF(F28-(A41+A42)&gt;250000000,250000000,F28-(A41+A42))</f>
        <v>0</v>
      </c>
      <c r="B43" s="7">
        <v>0.25</v>
      </c>
      <c r="C43" s="6">
        <f t="shared" si="1"/>
        <v>0</v>
      </c>
      <c r="D43" s="35"/>
      <c r="E43" s="35"/>
      <c r="F43" s="14"/>
    </row>
    <row r="44" spans="1:9" x14ac:dyDescent="0.2">
      <c r="A44" s="10">
        <f>IF(F28-(A41+A42+A43)&gt;4500000000,4500000000,F28-(A41+A42+A43))</f>
        <v>0</v>
      </c>
      <c r="B44" s="7">
        <v>0.3</v>
      </c>
      <c r="C44" s="6">
        <f t="shared" si="1"/>
        <v>0</v>
      </c>
      <c r="D44" s="35"/>
      <c r="E44" s="35"/>
      <c r="F44" s="14"/>
    </row>
    <row r="45" spans="1:9" s="65" customFormat="1" x14ac:dyDescent="0.2">
      <c r="A45" s="10">
        <f>IF(F28-(A41+A42+A43+A44)&gt;1,F28-(A41+A42+A43+A44),0)</f>
        <v>0</v>
      </c>
      <c r="B45" s="7">
        <v>0.35</v>
      </c>
      <c r="C45" s="6">
        <f t="shared" si="1"/>
        <v>0</v>
      </c>
      <c r="F45" s="14"/>
    </row>
    <row r="46" spans="1:9" x14ac:dyDescent="0.2">
      <c r="A46" s="10"/>
      <c r="B46" s="7"/>
      <c r="C46" s="6">
        <f>A46*0.35</f>
        <v>0</v>
      </c>
      <c r="D46" s="35"/>
      <c r="E46" s="35"/>
      <c r="F46" s="14"/>
    </row>
    <row r="47" spans="1:9" x14ac:dyDescent="0.2">
      <c r="A47" s="71" t="s">
        <v>22</v>
      </c>
      <c r="B47" s="72"/>
      <c r="C47" s="8">
        <f>SUM(C41:C46)</f>
        <v>-2934200</v>
      </c>
      <c r="F47" s="14"/>
      <c r="I47" s="12"/>
    </row>
    <row r="48" spans="1:9" x14ac:dyDescent="0.2">
      <c r="F48" s="14"/>
    </row>
  </sheetData>
  <mergeCells count="4">
    <mergeCell ref="B2:D2"/>
    <mergeCell ref="A33:B33"/>
    <mergeCell ref="D32:E32"/>
    <mergeCell ref="A47:B47"/>
  </mergeCells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8"/>
  <sheetViews>
    <sheetView zoomScale="85" zoomScaleNormal="85" zoomScalePageLayoutView="85" workbookViewId="0">
      <selection activeCell="H10" sqref="H10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7" style="34" customWidth="1"/>
    <col min="7" max="7" width="15.42578125" style="34" customWidth="1"/>
    <col min="8" max="8" width="14.42578125" style="34" customWidth="1"/>
    <col min="9" max="9" width="8.85546875" style="34"/>
    <col min="10" max="10" width="12" style="34" customWidth="1"/>
    <col min="11" max="11" width="12.7109375" style="34" bestFit="1" customWidth="1"/>
    <col min="12" max="12" width="10.7109375" style="34" customWidth="1"/>
    <col min="13" max="13" width="12.7109375" style="34" bestFit="1" customWidth="1"/>
    <col min="14" max="14" width="10.7109375" style="34" customWidth="1"/>
    <col min="15" max="16384" width="8.85546875" style="34"/>
  </cols>
  <sheetData>
    <row r="1" spans="1:9" x14ac:dyDescent="0.2">
      <c r="A1" s="2" t="s">
        <v>24</v>
      </c>
      <c r="B1" s="16" t="s">
        <v>59</v>
      </c>
    </row>
    <row r="2" spans="1:9" x14ac:dyDescent="0.2">
      <c r="A2" s="2" t="s">
        <v>10</v>
      </c>
      <c r="B2" s="75" t="s">
        <v>60</v>
      </c>
      <c r="C2" s="76"/>
      <c r="D2" s="76"/>
    </row>
    <row r="3" spans="1:9" x14ac:dyDescent="0.2">
      <c r="A3" s="2" t="s">
        <v>56</v>
      </c>
      <c r="B3" s="24">
        <v>1</v>
      </c>
    </row>
    <row r="4" spans="1:9" x14ac:dyDescent="0.2">
      <c r="A4" s="2" t="s">
        <v>57</v>
      </c>
      <c r="B4" s="2">
        <v>12</v>
      </c>
    </row>
    <row r="5" spans="1:9" x14ac:dyDescent="0.2">
      <c r="A5" s="2" t="s">
        <v>6</v>
      </c>
      <c r="B5" s="2">
        <v>12</v>
      </c>
      <c r="C5" s="33">
        <v>2013</v>
      </c>
    </row>
    <row r="6" spans="1:9" x14ac:dyDescent="0.2">
      <c r="A6" s="32" t="s">
        <v>58</v>
      </c>
      <c r="B6" s="2">
        <f>B5+1-B3</f>
        <v>12</v>
      </c>
      <c r="C6" s="3"/>
    </row>
    <row r="8" spans="1:9" x14ac:dyDescent="0.2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9" x14ac:dyDescent="0.2">
      <c r="A9" s="54"/>
      <c r="B9" s="21"/>
      <c r="C9" s="21"/>
      <c r="D9" s="21"/>
      <c r="E9" s="21"/>
      <c r="F9" s="21"/>
      <c r="H9" s="22"/>
    </row>
    <row r="10" spans="1:9" x14ac:dyDescent="0.2">
      <c r="A10" s="54"/>
      <c r="B10" s="21"/>
      <c r="C10" s="21"/>
      <c r="D10" s="21"/>
      <c r="E10" s="21"/>
      <c r="F10" s="21"/>
      <c r="H10" s="22"/>
    </row>
    <row r="11" spans="1:9" x14ac:dyDescent="0.2">
      <c r="A11" s="54"/>
      <c r="B11" s="21"/>
      <c r="C11" s="21"/>
      <c r="D11" s="21"/>
      <c r="E11" s="21"/>
      <c r="F11" s="21"/>
      <c r="H11" s="22"/>
    </row>
    <row r="12" spans="1:9" x14ac:dyDescent="0.2">
      <c r="A12" s="54"/>
      <c r="B12" s="21"/>
      <c r="C12" s="21"/>
      <c r="D12" s="21"/>
      <c r="E12" s="21"/>
      <c r="F12" s="21"/>
      <c r="H12" s="22"/>
    </row>
    <row r="13" spans="1:9" x14ac:dyDescent="0.2">
      <c r="A13" s="54"/>
      <c r="B13" s="21"/>
      <c r="C13" s="21"/>
      <c r="D13" s="21"/>
      <c r="E13" s="21"/>
      <c r="F13" s="21"/>
      <c r="H13" s="22"/>
      <c r="I13" s="5"/>
    </row>
    <row r="14" spans="1:9" x14ac:dyDescent="0.2">
      <c r="A14" s="21"/>
      <c r="B14" s="21"/>
      <c r="C14" s="21"/>
      <c r="D14" s="21"/>
      <c r="E14" s="21"/>
      <c r="F14" s="21"/>
      <c r="H14" s="22"/>
    </row>
    <row r="15" spans="1:9" x14ac:dyDescent="0.2">
      <c r="A15" s="21"/>
      <c r="B15" s="21"/>
      <c r="C15" s="21"/>
      <c r="D15" s="21"/>
      <c r="E15" s="21"/>
      <c r="F15" s="21"/>
      <c r="H15" s="22"/>
    </row>
    <row r="16" spans="1:9" x14ac:dyDescent="0.2">
      <c r="A16" s="8">
        <f t="shared" ref="A16:F16" si="0">SUM(A9:A15)</f>
        <v>0</v>
      </c>
      <c r="B16" s="8">
        <f t="shared" si="0"/>
        <v>0</v>
      </c>
      <c r="C16" s="8">
        <f t="shared" si="0"/>
        <v>0</v>
      </c>
      <c r="D16" s="8">
        <f t="shared" si="0"/>
        <v>0</v>
      </c>
      <c r="E16" s="8">
        <f>SUM(E9:E15)</f>
        <v>0</v>
      </c>
      <c r="F16" s="8">
        <f t="shared" si="0"/>
        <v>0</v>
      </c>
      <c r="G16" s="19"/>
      <c r="H16" s="22"/>
    </row>
    <row r="17" spans="1:14" x14ac:dyDescent="0.2">
      <c r="A17" s="3"/>
      <c r="B17" s="3"/>
      <c r="C17" s="3"/>
      <c r="D17" s="3"/>
      <c r="E17" s="3"/>
      <c r="F17" s="3"/>
    </row>
    <row r="18" spans="1:14" x14ac:dyDescent="0.2">
      <c r="A18" s="3"/>
      <c r="B18" s="3"/>
      <c r="C18" s="3"/>
      <c r="D18" s="3"/>
      <c r="E18" s="3"/>
      <c r="F18" s="3"/>
      <c r="J18" s="29" t="s">
        <v>38</v>
      </c>
      <c r="K18" s="29"/>
      <c r="L18" s="29"/>
      <c r="M18" s="29"/>
      <c r="N18" s="29"/>
    </row>
    <row r="19" spans="1:14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G19" s="1" t="s">
        <v>7</v>
      </c>
      <c r="H19" s="1" t="s">
        <v>8</v>
      </c>
      <c r="J19" s="25"/>
      <c r="K19" s="28" t="s">
        <v>37</v>
      </c>
      <c r="L19" s="28" t="s">
        <v>39</v>
      </c>
      <c r="M19" s="28" t="s">
        <v>43</v>
      </c>
      <c r="N19" s="28" t="s">
        <v>44</v>
      </c>
    </row>
    <row r="20" spans="1:14" x14ac:dyDescent="0.2">
      <c r="A20" s="6">
        <f>A16+C16+D16</f>
        <v>0</v>
      </c>
      <c r="B20" s="6">
        <f>B16+E16+F16</f>
        <v>0</v>
      </c>
      <c r="C20" s="6">
        <f>A20+B20</f>
        <v>0</v>
      </c>
      <c r="D20" s="6">
        <f>A20-H24-H26</f>
        <v>-4500000</v>
      </c>
      <c r="E20" s="6">
        <f>B20-H27</f>
        <v>0</v>
      </c>
      <c r="G20" s="2" t="s">
        <v>30</v>
      </c>
      <c r="H20" s="18"/>
      <c r="J20" s="27" t="s">
        <v>45</v>
      </c>
      <c r="K20" s="6">
        <f>'Tax Prove Jan'!D21</f>
        <v>6326231</v>
      </c>
      <c r="L20" s="6">
        <f>'Tax Prove Jan'!E21</f>
        <v>0</v>
      </c>
      <c r="M20" s="6">
        <f>'Tax Prove Jan'!E39</f>
        <v>16308</v>
      </c>
      <c r="N20" s="6">
        <f>'Tax Prove Jan'!E38</f>
        <v>0</v>
      </c>
    </row>
    <row r="21" spans="1:14" x14ac:dyDescent="0.2">
      <c r="G21" s="2" t="s">
        <v>31</v>
      </c>
      <c r="H21" s="54"/>
      <c r="J21" s="27" t="s">
        <v>46</v>
      </c>
      <c r="K21" s="6">
        <f>'Tax Prove Feb'!D21</f>
        <v>6326231</v>
      </c>
      <c r="L21" s="6">
        <f>'Tax Prove Feb'!E21</f>
        <v>598452</v>
      </c>
      <c r="M21" s="6">
        <f>'Tax Prove Feb'!E39</f>
        <v>16308</v>
      </c>
      <c r="N21" s="6">
        <f>'Tax Prove Feb'!E38</f>
        <v>29950</v>
      </c>
    </row>
    <row r="22" spans="1:14" x14ac:dyDescent="0.2">
      <c r="A22" s="1" t="s">
        <v>36</v>
      </c>
      <c r="B22" s="1" t="s">
        <v>35</v>
      </c>
      <c r="C22" s="1" t="s">
        <v>34</v>
      </c>
      <c r="D22" s="1" t="s">
        <v>33</v>
      </c>
      <c r="E22" s="1" t="s">
        <v>32</v>
      </c>
      <c r="F22" s="1" t="s">
        <v>61</v>
      </c>
      <c r="G22" s="2"/>
      <c r="H22" s="32">
        <v>4500000</v>
      </c>
      <c r="J22" s="27" t="s">
        <v>40</v>
      </c>
      <c r="K22" s="6">
        <f>'Tax Prove Mar'!D22</f>
        <v>6326232</v>
      </c>
      <c r="L22" s="6">
        <f>'Tax Prove Mar'!E22</f>
        <v>249327</v>
      </c>
      <c r="M22" s="6">
        <f>'Tax Prove Mar'!E40</f>
        <v>16309</v>
      </c>
      <c r="N22" s="6">
        <f>'Tax Prove Mar'!E39</f>
        <v>12450</v>
      </c>
    </row>
    <row r="23" spans="1:14" x14ac:dyDescent="0.2">
      <c r="A23" s="6">
        <f>(D20+K32)*B4/B6</f>
        <v>7706390</v>
      </c>
      <c r="B23" s="6">
        <f>E20+L32</f>
        <v>9638204</v>
      </c>
      <c r="C23" s="6">
        <f>A23+B23</f>
        <v>17344594</v>
      </c>
      <c r="D23" s="42">
        <f>'Tax Prove Jan'!D25</f>
        <v>72000000</v>
      </c>
      <c r="E23" s="6">
        <f>C23-D23</f>
        <v>-54655406</v>
      </c>
      <c r="F23" s="6">
        <f>E23-B23</f>
        <v>-64293610</v>
      </c>
      <c r="G23" s="2"/>
      <c r="H23" s="9"/>
      <c r="J23" s="27" t="s">
        <v>41</v>
      </c>
      <c r="K23" s="6">
        <f>'Tax Prove Apr'!D22</f>
        <v>6326231</v>
      </c>
      <c r="L23" s="6">
        <f>'Tax Prove Apr'!E22</f>
        <v>5627429</v>
      </c>
      <c r="M23" s="6">
        <f>'Tax Prove Apr'!E40</f>
        <v>16308</v>
      </c>
      <c r="N23" s="6">
        <f>'Tax Prove Apr'!E39</f>
        <v>281350</v>
      </c>
    </row>
    <row r="24" spans="1:14" x14ac:dyDescent="0.2">
      <c r="A24" s="3"/>
      <c r="B24" s="3"/>
      <c r="C24" s="3"/>
      <c r="D24" s="3"/>
      <c r="E24" s="3"/>
      <c r="F24" s="35"/>
      <c r="G24" s="4" t="s">
        <v>9</v>
      </c>
      <c r="H24" s="8">
        <f>SUM(H20:H22)</f>
        <v>4500000</v>
      </c>
      <c r="J24" s="27" t="s">
        <v>42</v>
      </c>
      <c r="K24" s="6">
        <f>'Tax Prove Mei'!D21</f>
        <v>401465</v>
      </c>
      <c r="L24" s="6">
        <f>'Tax Prove Mei'!E21</f>
        <v>3162996</v>
      </c>
      <c r="M24" s="6">
        <f>'Tax Prove Mei'!E39</f>
        <v>201996</v>
      </c>
      <c r="N24" s="6">
        <f>'Tax Prove Mei'!E38</f>
        <v>-323750</v>
      </c>
    </row>
    <row r="25" spans="1:14" x14ac:dyDescent="0.2">
      <c r="A25" s="34" t="s">
        <v>20</v>
      </c>
      <c r="E25" s="1" t="s">
        <v>55</v>
      </c>
      <c r="F25" s="1" t="s">
        <v>62</v>
      </c>
      <c r="G25" s="3"/>
      <c r="H25" s="3"/>
      <c r="J25" s="27" t="s">
        <v>47</v>
      </c>
      <c r="K25" s="6">
        <f>'Tax Prove Jun'!D21</f>
        <v>0</v>
      </c>
      <c r="L25" s="6">
        <f>'Tax Prove Jun'!E21</f>
        <v>0</v>
      </c>
      <c r="M25" s="6">
        <f>'Tax Prove Jun'!E39</f>
        <v>-781904</v>
      </c>
      <c r="N25" s="6">
        <f>'Tax Prove Jun'!E38</f>
        <v>481900</v>
      </c>
    </row>
    <row r="26" spans="1:14" x14ac:dyDescent="0.2">
      <c r="A26" s="1" t="s">
        <v>12</v>
      </c>
      <c r="B26" s="1" t="s">
        <v>13</v>
      </c>
      <c r="C26" s="1" t="s">
        <v>8</v>
      </c>
      <c r="D26" s="13"/>
      <c r="E26" s="6">
        <f>E23/1000</f>
        <v>-54655.406000000003</v>
      </c>
      <c r="F26" s="6">
        <f>F23/1000</f>
        <v>-64293.61</v>
      </c>
      <c r="G26" s="1" t="s">
        <v>11</v>
      </c>
      <c r="H26" s="6">
        <f>IF(A20*5%&gt;500000,500000,A20*5%)</f>
        <v>0</v>
      </c>
      <c r="J26" s="27" t="s">
        <v>48</v>
      </c>
      <c r="K26" s="6">
        <f>'Tax Prove Jul'!D21</f>
        <v>0</v>
      </c>
      <c r="L26" s="6">
        <f>'Tax Prove Jul'!E21</f>
        <v>0</v>
      </c>
      <c r="M26" s="6">
        <f>'Tax Prove Jul'!E39</f>
        <v>-299979</v>
      </c>
      <c r="N26" s="6">
        <f>'Tax Prove Jul'!E38</f>
        <v>0</v>
      </c>
    </row>
    <row r="27" spans="1:14" x14ac:dyDescent="0.2">
      <c r="A27" s="10">
        <f>IF(E28&gt;60000000,60000000,E28)</f>
        <v>-54655000</v>
      </c>
      <c r="B27" s="7">
        <v>0.05</v>
      </c>
      <c r="C27" s="6">
        <f>A27*B27</f>
        <v>-2732750</v>
      </c>
      <c r="D27" s="14"/>
      <c r="E27" s="32">
        <f>ROUND(E26,0)</f>
        <v>-54655</v>
      </c>
      <c r="F27" s="32">
        <f>ROUND(F26,0)</f>
        <v>-64294</v>
      </c>
      <c r="G27" s="1" t="s">
        <v>19</v>
      </c>
      <c r="H27" s="21"/>
      <c r="J27" s="27" t="s">
        <v>49</v>
      </c>
      <c r="K27" s="6">
        <f>'Tax Prove Agt'!D20</f>
        <v>-4500000</v>
      </c>
      <c r="L27" s="6">
        <f>'Tax Prove Agt'!E20</f>
        <v>0</v>
      </c>
      <c r="M27" s="6">
        <f>'Tax Prove Agt'!E35</f>
        <v>-525012.66666666651</v>
      </c>
      <c r="N27" s="6">
        <f>'Tax Prove Agt'!E34</f>
        <v>0</v>
      </c>
    </row>
    <row r="28" spans="1:14" x14ac:dyDescent="0.2">
      <c r="A28" s="10">
        <f>IF(E28-A27&gt;190000000,190000000,E28-A27)</f>
        <v>0</v>
      </c>
      <c r="B28" s="7">
        <v>0.15</v>
      </c>
      <c r="C28" s="6">
        <f>A28*B28</f>
        <v>0</v>
      </c>
      <c r="D28" s="14"/>
      <c r="E28" s="31">
        <f>E27*1000</f>
        <v>-54655000</v>
      </c>
      <c r="F28" s="31">
        <f>F27*1000</f>
        <v>-64294000</v>
      </c>
      <c r="J28" s="27" t="s">
        <v>50</v>
      </c>
      <c r="K28" s="6">
        <f>'Tax Prove Sep'!D20</f>
        <v>0</v>
      </c>
      <c r="L28" s="6">
        <f>'Tax Prove Sep'!E20</f>
        <v>0</v>
      </c>
      <c r="M28" s="6">
        <f>'Tax Prove Sep'!E35</f>
        <v>-300020.83333333349</v>
      </c>
      <c r="N28" s="6">
        <f>'Tax Prove Sep'!E34</f>
        <v>0</v>
      </c>
    </row>
    <row r="29" spans="1:14" x14ac:dyDescent="0.2">
      <c r="A29" s="10">
        <f>IF(E28-(A27+A28)&gt;250000000,250000000,E28-(A27+A28))</f>
        <v>0</v>
      </c>
      <c r="B29" s="7">
        <v>0.25</v>
      </c>
      <c r="C29" s="6">
        <f>A29*B29</f>
        <v>0</v>
      </c>
      <c r="D29" s="14"/>
      <c r="E29" s="30"/>
      <c r="F29" s="3"/>
      <c r="J29" s="27" t="s">
        <v>51</v>
      </c>
      <c r="K29" s="6">
        <f>'Tax Prove Okt'!D20</f>
        <v>-4500000</v>
      </c>
      <c r="L29" s="6">
        <f>'Tax Prove Okt'!E20</f>
        <v>0</v>
      </c>
      <c r="M29" s="6">
        <f>'Tax Prove Okt'!E35</f>
        <v>-524979.16666666698</v>
      </c>
      <c r="N29" s="6">
        <f>'Tax Prove Okt'!E34</f>
        <v>0</v>
      </c>
    </row>
    <row r="30" spans="1:14" x14ac:dyDescent="0.2">
      <c r="A30" s="10">
        <f>IF(E28-(A27+A28+A29)&gt;4500000000,4500000000,E28-(A27+A28+A29))</f>
        <v>0</v>
      </c>
      <c r="B30" s="7">
        <v>0.3</v>
      </c>
      <c r="C30" s="6">
        <f>A30*B30</f>
        <v>0</v>
      </c>
      <c r="D30" s="14"/>
      <c r="E30" s="30"/>
      <c r="F30" s="3"/>
      <c r="J30" s="27" t="s">
        <v>52</v>
      </c>
      <c r="K30" s="6">
        <f>'Tax Prove Nov'!D20</f>
        <v>-4500000</v>
      </c>
      <c r="L30" s="6">
        <f>'Tax Prove Nov'!E20</f>
        <v>0</v>
      </c>
      <c r="M30" s="6">
        <f>'Tax Prove Nov'!E35</f>
        <v>-525016.66666666605</v>
      </c>
      <c r="N30" s="6">
        <f>'Tax Prove Nov'!E34</f>
        <v>0</v>
      </c>
    </row>
    <row r="31" spans="1:14" x14ac:dyDescent="0.2">
      <c r="A31" s="10">
        <f>IF(E28-(A27+A28+A29+A30)&gt;1,E28-(A27+A28+A29+A30),0)</f>
        <v>0</v>
      </c>
      <c r="B31" s="7">
        <v>0.35</v>
      </c>
      <c r="C31" s="6">
        <f>A31*B31</f>
        <v>0</v>
      </c>
      <c r="D31" s="14"/>
      <c r="E31" s="15"/>
      <c r="F31" s="3"/>
      <c r="J31" s="27" t="s">
        <v>53</v>
      </c>
      <c r="K31" s="2"/>
      <c r="L31" s="2"/>
      <c r="M31" s="2"/>
      <c r="N31" s="2"/>
    </row>
    <row r="32" spans="1:14" x14ac:dyDescent="0.2">
      <c r="A32" s="10"/>
      <c r="B32" s="7"/>
      <c r="C32" s="6">
        <f>A32*0.35</f>
        <v>0</v>
      </c>
      <c r="D32" s="78"/>
      <c r="E32" s="78"/>
      <c r="F32" s="3"/>
      <c r="J32" s="26" t="s">
        <v>54</v>
      </c>
      <c r="K32" s="31">
        <f>SUM(K20:K31)</f>
        <v>12206390</v>
      </c>
      <c r="L32" s="31">
        <f>SUM(L20:L31)</f>
        <v>9638204</v>
      </c>
      <c r="M32" s="31">
        <f>SUM(M20:M31)</f>
        <v>-2689683.333333333</v>
      </c>
      <c r="N32" s="31">
        <f>SUM(N20:N31)</f>
        <v>481900</v>
      </c>
    </row>
    <row r="33" spans="1:9" x14ac:dyDescent="0.2">
      <c r="A33" s="71" t="s">
        <v>14</v>
      </c>
      <c r="B33" s="72"/>
      <c r="C33" s="8">
        <f>SUM(C27:C32)</f>
        <v>-2732750</v>
      </c>
    </row>
    <row r="34" spans="1:9" x14ac:dyDescent="0.2">
      <c r="D34" s="1" t="s">
        <v>17</v>
      </c>
      <c r="E34" s="6">
        <f>C33-B36-N32</f>
        <v>50</v>
      </c>
    </row>
    <row r="35" spans="1:9" x14ac:dyDescent="0.2">
      <c r="A35" s="1" t="s">
        <v>15</v>
      </c>
      <c r="B35" s="6">
        <f>C33-C47</f>
        <v>481950</v>
      </c>
      <c r="C35" s="35"/>
      <c r="D35" s="1" t="s">
        <v>18</v>
      </c>
      <c r="E35" s="6">
        <f>B36*(B6/B4)-M32</f>
        <v>-525016.66666666698</v>
      </c>
    </row>
    <row r="36" spans="1:9" x14ac:dyDescent="0.2">
      <c r="A36" s="1" t="s">
        <v>16</v>
      </c>
      <c r="B36" s="6">
        <f>C47</f>
        <v>-3214700</v>
      </c>
      <c r="C36" s="35"/>
      <c r="D36" s="17" t="s">
        <v>23</v>
      </c>
      <c r="E36" s="6">
        <f>E34+E35</f>
        <v>-524966.66666666698</v>
      </c>
      <c r="G36" s="12"/>
    </row>
    <row r="37" spans="1:9" x14ac:dyDescent="0.2">
      <c r="A37" s="35"/>
      <c r="B37" s="35"/>
      <c r="C37" s="35"/>
      <c r="D37" s="35"/>
      <c r="E37" s="35"/>
      <c r="F37" s="13"/>
    </row>
    <row r="38" spans="1:9" x14ac:dyDescent="0.2">
      <c r="A38" s="35"/>
      <c r="B38" s="35"/>
      <c r="C38" s="35"/>
      <c r="D38" s="35"/>
      <c r="E38" s="35"/>
      <c r="F38" s="13"/>
    </row>
    <row r="39" spans="1:9" x14ac:dyDescent="0.2">
      <c r="A39" s="35" t="s">
        <v>21</v>
      </c>
      <c r="B39" s="35"/>
      <c r="C39" s="35"/>
      <c r="D39" s="35"/>
      <c r="E39" s="20"/>
      <c r="F39" s="13"/>
    </row>
    <row r="40" spans="1:9" x14ac:dyDescent="0.2">
      <c r="A40" s="1" t="s">
        <v>12</v>
      </c>
      <c r="B40" s="1" t="s">
        <v>13</v>
      </c>
      <c r="C40" s="1" t="s">
        <v>8</v>
      </c>
      <c r="D40" s="35"/>
      <c r="E40" s="35"/>
      <c r="F40" s="13"/>
    </row>
    <row r="41" spans="1:9" x14ac:dyDescent="0.2">
      <c r="A41" s="10">
        <f>IF(F28&gt;60000000,60000000,F28)</f>
        <v>-64294000</v>
      </c>
      <c r="B41" s="7">
        <v>0.05</v>
      </c>
      <c r="C41" s="6">
        <f>A41*B41</f>
        <v>-3214700</v>
      </c>
      <c r="D41" s="35"/>
      <c r="E41" s="35"/>
      <c r="F41" s="13"/>
    </row>
    <row r="42" spans="1:9" x14ac:dyDescent="0.2">
      <c r="A42" s="10">
        <f>IF(F28-A41&gt;190000000,190000000,F28-A41)</f>
        <v>0</v>
      </c>
      <c r="B42" s="7">
        <v>0.15</v>
      </c>
      <c r="C42" s="6">
        <f t="shared" ref="C42:C45" si="1">A42*B42</f>
        <v>0</v>
      </c>
      <c r="D42" s="35"/>
      <c r="E42" s="11"/>
      <c r="F42" s="14"/>
    </row>
    <row r="43" spans="1:9" x14ac:dyDescent="0.2">
      <c r="A43" s="10">
        <f>IF(F28-(A41+A42)&gt;250000000,250000000,F28-(A41+A42))</f>
        <v>0</v>
      </c>
      <c r="B43" s="7">
        <v>0.25</v>
      </c>
      <c r="C43" s="6">
        <f t="shared" si="1"/>
        <v>0</v>
      </c>
      <c r="D43" s="35"/>
      <c r="E43" s="35"/>
      <c r="F43" s="14"/>
    </row>
    <row r="44" spans="1:9" x14ac:dyDescent="0.2">
      <c r="A44" s="10">
        <f>IF(F28-(A41+A42+A43)&gt;4500000000,4500000000,F28-(A41+A42+A43))</f>
        <v>0</v>
      </c>
      <c r="B44" s="7">
        <v>0.3</v>
      </c>
      <c r="C44" s="6">
        <f t="shared" si="1"/>
        <v>0</v>
      </c>
      <c r="D44" s="35"/>
      <c r="E44" s="35"/>
      <c r="F44" s="14"/>
    </row>
    <row r="45" spans="1:9" s="65" customFormat="1" x14ac:dyDescent="0.2">
      <c r="A45" s="10">
        <f>IF(F28-(A41+A42+A43+A44)&gt;1,F28-(A41+A42+A43+A44),0)</f>
        <v>0</v>
      </c>
      <c r="B45" s="7">
        <v>0.35</v>
      </c>
      <c r="C45" s="6">
        <f t="shared" si="1"/>
        <v>0</v>
      </c>
      <c r="F45" s="14"/>
    </row>
    <row r="46" spans="1:9" x14ac:dyDescent="0.2">
      <c r="A46" s="10"/>
      <c r="B46" s="7"/>
      <c r="C46" s="6">
        <f>A46*0.35</f>
        <v>0</v>
      </c>
      <c r="D46" s="35"/>
      <c r="E46" s="35"/>
      <c r="F46" s="14"/>
    </row>
    <row r="47" spans="1:9" x14ac:dyDescent="0.2">
      <c r="A47" s="71" t="s">
        <v>22</v>
      </c>
      <c r="B47" s="72"/>
      <c r="C47" s="8">
        <f>SUM(C41:C46)</f>
        <v>-3214700</v>
      </c>
      <c r="F47" s="14"/>
      <c r="I47" s="12"/>
    </row>
    <row r="48" spans="1:9" x14ac:dyDescent="0.2">
      <c r="F48" s="14"/>
    </row>
  </sheetData>
  <mergeCells count="4">
    <mergeCell ref="B2:D2"/>
    <mergeCell ref="A33:B33"/>
    <mergeCell ref="D32:E32"/>
    <mergeCell ref="A47:B47"/>
  </mergeCells>
  <pageMargins left="0.75" right="0.75" top="1" bottom="1" header="0.5" footer="0.5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3"/>
  <sheetViews>
    <sheetView workbookViewId="0">
      <selection activeCell="H12" sqref="H12"/>
    </sheetView>
  </sheetViews>
  <sheetFormatPr defaultColWidth="8.85546875" defaultRowHeight="12.75" x14ac:dyDescent="0.2"/>
  <cols>
    <col min="1" max="1" width="10" bestFit="1" customWidth="1"/>
    <col min="2" max="7" width="20.7109375" customWidth="1"/>
  </cols>
  <sheetData>
    <row r="1" spans="1:8" x14ac:dyDescent="0.2">
      <c r="A1" s="80" t="s">
        <v>63</v>
      </c>
      <c r="B1" s="79" t="s">
        <v>65</v>
      </c>
      <c r="C1" s="79"/>
      <c r="D1" s="79" t="s">
        <v>66</v>
      </c>
      <c r="E1" s="79"/>
      <c r="F1" s="79" t="s">
        <v>68</v>
      </c>
      <c r="G1" s="79"/>
    </row>
    <row r="2" spans="1:8" x14ac:dyDescent="0.2">
      <c r="A2" s="80"/>
      <c r="B2" s="40" t="s">
        <v>64</v>
      </c>
      <c r="C2" s="40" t="s">
        <v>67</v>
      </c>
      <c r="D2" s="40" t="s">
        <v>64</v>
      </c>
      <c r="E2" s="40" t="s">
        <v>67</v>
      </c>
      <c r="F2" s="40" t="s">
        <v>64</v>
      </c>
      <c r="G2" s="40" t="s">
        <v>67</v>
      </c>
    </row>
    <row r="3" spans="1:8" x14ac:dyDescent="0.2">
      <c r="A3" s="2" t="s">
        <v>69</v>
      </c>
      <c r="B3" s="41">
        <f>'Tax Prove Jan'!A17</f>
        <v>0</v>
      </c>
      <c r="C3" s="41">
        <f>'Tax Prove Jan'!B21</f>
        <v>0</v>
      </c>
      <c r="D3" s="41">
        <f>'Tax Prove Jan'!I14</f>
        <v>162540</v>
      </c>
      <c r="E3" s="41"/>
      <c r="F3" s="41">
        <f>'Tax Prove Jan'!I16</f>
        <v>341514</v>
      </c>
      <c r="G3" s="41">
        <f>'Tax Prove Jan'!I17</f>
        <v>0</v>
      </c>
      <c r="H3" s="36"/>
    </row>
    <row r="4" spans="1:8" x14ac:dyDescent="0.2">
      <c r="A4" s="2" t="s">
        <v>70</v>
      </c>
      <c r="B4" s="41">
        <f>'Tax Prove Feb'!A21</f>
        <v>6830285</v>
      </c>
      <c r="C4" s="41">
        <f>'Tax Prove Feb'!B21</f>
        <v>629950</v>
      </c>
      <c r="D4" s="41">
        <f>'Tax Prove Feb'!I14</f>
        <v>162540</v>
      </c>
      <c r="E4" s="41"/>
      <c r="F4" s="41">
        <f>'Tax Prove Feb'!I16</f>
        <v>341514</v>
      </c>
      <c r="G4" s="41">
        <f>'Tax Prove Feb'!I17</f>
        <v>31498</v>
      </c>
      <c r="H4" s="36"/>
    </row>
    <row r="5" spans="1:8" x14ac:dyDescent="0.2">
      <c r="A5" s="2" t="s">
        <v>71</v>
      </c>
      <c r="B5" s="41">
        <f>'Tax Prove Mar'!A22</f>
        <v>6830286</v>
      </c>
      <c r="C5" s="41">
        <f>'Tax Prove Mar'!B22</f>
        <v>262450</v>
      </c>
      <c r="D5" s="41">
        <f>'Tax Prove Mar'!I14</f>
        <v>162540</v>
      </c>
      <c r="E5" s="41"/>
      <c r="F5" s="41">
        <f>'Tax Prove Mar'!I17</f>
        <v>341514</v>
      </c>
      <c r="G5" s="41">
        <f>'Tax Prove Mar'!I18</f>
        <v>13123</v>
      </c>
      <c r="H5" s="36"/>
    </row>
    <row r="6" spans="1:8" x14ac:dyDescent="0.2">
      <c r="A6" s="2" t="s">
        <v>41</v>
      </c>
      <c r="B6" s="41">
        <f>'Tax Prove Apr'!A22</f>
        <v>6830285</v>
      </c>
      <c r="C6" s="41">
        <f>'Tax Prove Apr'!B22</f>
        <v>5923610</v>
      </c>
      <c r="D6" s="41">
        <f>'Tax Prove Apr'!I14</f>
        <v>162540</v>
      </c>
      <c r="E6" s="41"/>
      <c r="F6" s="41">
        <f>'Tax Prove Apr'!I16</f>
        <v>341514</v>
      </c>
      <c r="G6" s="41">
        <f>'Tax Prove Apr'!I18</f>
        <v>296181</v>
      </c>
      <c r="H6" s="36"/>
    </row>
    <row r="7" spans="1:8" x14ac:dyDescent="0.2">
      <c r="A7" s="2" t="s">
        <v>72</v>
      </c>
      <c r="B7" s="41">
        <f>'Tax Prove Mei'!A21</f>
        <v>413865</v>
      </c>
      <c r="C7" s="41">
        <f>'Tax Prove Mei'!B21</f>
        <v>3346508</v>
      </c>
      <c r="D7" s="41">
        <f>'Tax Prove Mei'!I14</f>
        <v>0</v>
      </c>
      <c r="E7" s="41"/>
      <c r="F7" s="41">
        <f>'Tax Prove Mei'!I16</f>
        <v>12400</v>
      </c>
      <c r="G7" s="41">
        <f>'Tax Prove Mei'!I17</f>
        <v>183512</v>
      </c>
      <c r="H7" s="36"/>
    </row>
    <row r="8" spans="1:8" x14ac:dyDescent="0.2">
      <c r="A8" s="2" t="s">
        <v>73</v>
      </c>
      <c r="B8" s="41">
        <f>'Tax Prove Jun'!A21</f>
        <v>0</v>
      </c>
      <c r="C8" s="41">
        <f>'Tax Prove Jun'!B21</f>
        <v>0</v>
      </c>
      <c r="D8" s="41">
        <f>'Tax Prove Jun'!I14</f>
        <v>0</v>
      </c>
      <c r="E8" s="41"/>
      <c r="F8" s="41">
        <f>'Tax Prove Jun'!I16</f>
        <v>0</v>
      </c>
      <c r="G8" s="41">
        <f>'Tax Prove Jun'!I17</f>
        <v>0</v>
      </c>
      <c r="H8" s="36"/>
    </row>
    <row r="9" spans="1:8" x14ac:dyDescent="0.2">
      <c r="A9" s="2" t="s">
        <v>48</v>
      </c>
      <c r="B9" s="41">
        <f>'Tax Prove Jul'!A21</f>
        <v>0</v>
      </c>
      <c r="C9" s="41">
        <f>'Tax Prove Jul'!B21</f>
        <v>0</v>
      </c>
      <c r="D9" s="41">
        <f>'Tax Prove Jul'!I14</f>
        <v>0</v>
      </c>
      <c r="E9" s="41"/>
      <c r="F9" s="41">
        <f>'Tax Prove Jul'!I16</f>
        <v>0</v>
      </c>
      <c r="G9" s="41">
        <f>'Tax Prove Jul'!I17</f>
        <v>0</v>
      </c>
      <c r="H9" s="36"/>
    </row>
    <row r="10" spans="1:8" x14ac:dyDescent="0.2">
      <c r="A10" s="2" t="s">
        <v>74</v>
      </c>
      <c r="B10" s="41">
        <f>'Tax Prove Agt'!A20</f>
        <v>0</v>
      </c>
      <c r="C10" s="41">
        <f>'Tax Prove Agt'!B20</f>
        <v>0</v>
      </c>
      <c r="D10" s="41">
        <f>'Tax Prove Agt'!H24</f>
        <v>4500000</v>
      </c>
      <c r="E10" s="41"/>
      <c r="F10" s="41">
        <f>'Tax Prove Agt'!H26</f>
        <v>0</v>
      </c>
      <c r="G10" s="41">
        <f>'Tax Prove Agt'!H27</f>
        <v>0</v>
      </c>
      <c r="H10" s="36"/>
    </row>
    <row r="11" spans="1:8" x14ac:dyDescent="0.2">
      <c r="A11" s="2" t="s">
        <v>50</v>
      </c>
      <c r="B11" s="41">
        <f>'Tax Prove Sep'!A20</f>
        <v>0</v>
      </c>
      <c r="C11" s="41">
        <f>'Tax Prove Sep'!B20</f>
        <v>0</v>
      </c>
      <c r="D11" s="41">
        <f>'Tax Prove Sep'!H24</f>
        <v>0</v>
      </c>
      <c r="E11" s="41"/>
      <c r="F11" s="41">
        <f>'Tax Prove Sep'!H26</f>
        <v>0</v>
      </c>
      <c r="G11" s="41">
        <f>'Tax Prove Sep'!H27</f>
        <v>0</v>
      </c>
      <c r="H11" s="36"/>
    </row>
    <row r="12" spans="1:8" x14ac:dyDescent="0.2">
      <c r="A12" s="2" t="s">
        <v>75</v>
      </c>
      <c r="B12" s="41">
        <f>'Tax Prove Okt'!A20</f>
        <v>0</v>
      </c>
      <c r="C12" s="41">
        <f>'Tax Prove Okt'!B20</f>
        <v>0</v>
      </c>
      <c r="D12" s="41">
        <f>'Tax Prove Okt'!H24</f>
        <v>4500000</v>
      </c>
      <c r="E12" s="41"/>
      <c r="F12" s="41">
        <f>'Tax Prove Okt'!H26</f>
        <v>0</v>
      </c>
      <c r="G12" s="41">
        <f>'Tax Prove Okt'!H27</f>
        <v>0</v>
      </c>
      <c r="H12" s="36"/>
    </row>
    <row r="13" spans="1:8" x14ac:dyDescent="0.2">
      <c r="A13" s="2" t="s">
        <v>52</v>
      </c>
      <c r="B13" s="41">
        <f>'Tax Prove Nov'!A20</f>
        <v>0</v>
      </c>
      <c r="C13" s="41">
        <f>'Tax Prove Nov'!B20</f>
        <v>0</v>
      </c>
      <c r="D13" s="41">
        <f>'Tax Prove Nov'!H24</f>
        <v>4500000</v>
      </c>
      <c r="E13" s="41"/>
      <c r="F13" s="41">
        <f>'Tax Prove Nov'!H26</f>
        <v>0</v>
      </c>
      <c r="G13" s="41">
        <f>'Tax Prove Nov'!H27</f>
        <v>0</v>
      </c>
      <c r="H13" s="36"/>
    </row>
    <row r="14" spans="1:8" x14ac:dyDescent="0.2">
      <c r="A14" s="2" t="s">
        <v>76</v>
      </c>
      <c r="B14" s="41">
        <f>'Tax Prove Des'!A20</f>
        <v>0</v>
      </c>
      <c r="C14" s="41">
        <f>'Tax Prove Des'!B20</f>
        <v>0</v>
      </c>
      <c r="D14" s="41">
        <f>'Tax Prove Des'!H24</f>
        <v>4500000</v>
      </c>
      <c r="E14" s="41"/>
      <c r="F14" s="41">
        <f>'Tax Prove Des'!H26</f>
        <v>0</v>
      </c>
      <c r="G14" s="41">
        <f>'Tax Prove Des'!H27</f>
        <v>0</v>
      </c>
      <c r="H14" s="36"/>
    </row>
    <row r="15" spans="1:8" x14ac:dyDescent="0.2">
      <c r="A15" s="2"/>
      <c r="B15" s="44">
        <f>SUM(B3:B14)</f>
        <v>20904721</v>
      </c>
      <c r="C15" s="44">
        <f>SUM(C3:C14)</f>
        <v>10162518</v>
      </c>
      <c r="D15" s="44">
        <f t="shared" ref="D15:G15" si="0">SUM(D3:D14)</f>
        <v>18650160</v>
      </c>
      <c r="E15" s="44">
        <f t="shared" si="0"/>
        <v>0</v>
      </c>
      <c r="F15" s="44">
        <f t="shared" si="0"/>
        <v>1378456</v>
      </c>
      <c r="G15" s="44">
        <f t="shared" si="0"/>
        <v>524314</v>
      </c>
      <c r="H15" s="36"/>
    </row>
    <row r="17" spans="1:7" s="37" customFormat="1" x14ac:dyDescent="0.2">
      <c r="B17" s="40" t="s">
        <v>77</v>
      </c>
      <c r="C17" s="40" t="s">
        <v>78</v>
      </c>
      <c r="D17" s="40" t="s">
        <v>79</v>
      </c>
      <c r="E17" s="40" t="s">
        <v>80</v>
      </c>
      <c r="F17" s="40" t="s">
        <v>81</v>
      </c>
      <c r="G17" s="40" t="s">
        <v>82</v>
      </c>
    </row>
    <row r="18" spans="1:7" x14ac:dyDescent="0.2">
      <c r="B18" s="42">
        <f>B15-D15-F15</f>
        <v>876105</v>
      </c>
      <c r="C18" s="42">
        <f>C15-G15</f>
        <v>9638204</v>
      </c>
      <c r="D18" s="42">
        <f>C18+B18</f>
        <v>10514309</v>
      </c>
      <c r="E18" s="41">
        <f>'Tax Prove Jan'!D25</f>
        <v>72000000</v>
      </c>
      <c r="F18" s="42">
        <f>D18-E18</f>
        <v>-61485691</v>
      </c>
      <c r="G18" s="42">
        <f>F18-C18</f>
        <v>-71123895</v>
      </c>
    </row>
    <row r="20" spans="1:7" x14ac:dyDescent="0.2">
      <c r="F20" s="79" t="s">
        <v>83</v>
      </c>
      <c r="G20" s="79"/>
    </row>
    <row r="21" spans="1:7" x14ac:dyDescent="0.2">
      <c r="F21" s="40" t="s">
        <v>81</v>
      </c>
      <c r="G21" s="40" t="s">
        <v>82</v>
      </c>
    </row>
    <row r="22" spans="1:7" x14ac:dyDescent="0.2">
      <c r="F22" s="42">
        <f>F18/1000</f>
        <v>-61485.690999999999</v>
      </c>
      <c r="G22" s="42">
        <f>G18/1000</f>
        <v>-71123.895000000004</v>
      </c>
    </row>
    <row r="23" spans="1:7" x14ac:dyDescent="0.2">
      <c r="F23" s="42">
        <f>ROUND(F22,0)</f>
        <v>-61486</v>
      </c>
      <c r="G23" s="42">
        <f>ROUND(G22,0)</f>
        <v>-71124</v>
      </c>
    </row>
    <row r="24" spans="1:7" x14ac:dyDescent="0.2">
      <c r="F24" s="43">
        <f>F23*1000</f>
        <v>-61486000</v>
      </c>
      <c r="G24" s="43">
        <f>G23*1000</f>
        <v>-71124000</v>
      </c>
    </row>
    <row r="26" spans="1:7" x14ac:dyDescent="0.2">
      <c r="A26" s="38" t="s">
        <v>84</v>
      </c>
    </row>
    <row r="27" spans="1:7" x14ac:dyDescent="0.2">
      <c r="A27" s="80" t="s">
        <v>13</v>
      </c>
      <c r="B27" s="79" t="s">
        <v>84</v>
      </c>
      <c r="C27" s="79"/>
      <c r="D27" s="79" t="s">
        <v>87</v>
      </c>
      <c r="E27" s="79"/>
      <c r="F27" s="79"/>
    </row>
    <row r="28" spans="1:7" x14ac:dyDescent="0.2">
      <c r="A28" s="80"/>
      <c r="B28" s="40" t="s">
        <v>85</v>
      </c>
      <c r="C28" s="40" t="s">
        <v>86</v>
      </c>
      <c r="D28" s="40" t="s">
        <v>85</v>
      </c>
      <c r="E28" s="40" t="s">
        <v>86</v>
      </c>
      <c r="F28" s="40" t="s">
        <v>88</v>
      </c>
    </row>
    <row r="29" spans="1:7" x14ac:dyDescent="0.2">
      <c r="A29" s="7">
        <v>0.05</v>
      </c>
      <c r="B29" s="41">
        <f>IF(F24&gt;50000000,50000000,F24)</f>
        <v>-61486000</v>
      </c>
      <c r="C29" s="41">
        <f>IF(G24&gt;50000000,50000000,G24)</f>
        <v>-71124000</v>
      </c>
      <c r="D29" s="42">
        <f>$A$29*B29</f>
        <v>-3074300</v>
      </c>
      <c r="E29" s="42">
        <f>$A$29*C29</f>
        <v>-3556200</v>
      </c>
      <c r="F29" s="2"/>
    </row>
    <row r="30" spans="1:7" x14ac:dyDescent="0.2">
      <c r="A30" s="7">
        <v>0.15</v>
      </c>
      <c r="B30" s="42">
        <f>F24-B29</f>
        <v>0</v>
      </c>
      <c r="C30" s="42">
        <f>G24-C29</f>
        <v>0</v>
      </c>
      <c r="D30" s="42">
        <f>$A$30*B30</f>
        <v>0</v>
      </c>
      <c r="E30" s="42">
        <f>$A$30*C30</f>
        <v>0</v>
      </c>
      <c r="F30" s="2"/>
    </row>
    <row r="31" spans="1:7" x14ac:dyDescent="0.2">
      <c r="A31" s="7">
        <v>0.25</v>
      </c>
      <c r="B31" s="2"/>
      <c r="C31" s="2"/>
      <c r="D31" s="2"/>
      <c r="E31" s="2"/>
      <c r="F31" s="2"/>
    </row>
    <row r="32" spans="1:7" x14ac:dyDescent="0.2">
      <c r="A32" s="7">
        <v>0.3</v>
      </c>
      <c r="B32" s="2"/>
      <c r="C32" s="2"/>
      <c r="D32" s="2"/>
      <c r="E32" s="2"/>
      <c r="F32" s="2"/>
    </row>
    <row r="33" spans="2:6" x14ac:dyDescent="0.2">
      <c r="B33" s="39"/>
      <c r="D33" s="43">
        <f>SUM(D29:D32)</f>
        <v>-3074300</v>
      </c>
      <c r="E33" s="43">
        <f>SUM(E29:E32)</f>
        <v>-3556200</v>
      </c>
      <c r="F33" s="43">
        <f>D33-E33</f>
        <v>481900</v>
      </c>
    </row>
  </sheetData>
  <mergeCells count="8">
    <mergeCell ref="B27:C27"/>
    <mergeCell ref="D27:F27"/>
    <mergeCell ref="A27:A28"/>
    <mergeCell ref="B1:C1"/>
    <mergeCell ref="D1:E1"/>
    <mergeCell ref="F1:G1"/>
    <mergeCell ref="A1:A2"/>
    <mergeCell ref="F20:G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2"/>
  <sheetViews>
    <sheetView topLeftCell="C22" zoomScale="85" zoomScaleNormal="85" zoomScalePageLayoutView="85" workbookViewId="0">
      <selection activeCell="E40" sqref="E40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2.85546875" style="47" customWidth="1"/>
    <col min="8" max="8" width="15.42578125" style="34" customWidth="1"/>
    <col min="9" max="9" width="14.42578125" style="34" customWidth="1"/>
    <col min="10" max="10" width="8.85546875" style="34"/>
    <col min="11" max="11" width="12" style="34" customWidth="1"/>
    <col min="12" max="12" width="11.28515625" style="34" bestFit="1" customWidth="1"/>
    <col min="13" max="13" width="10.7109375" style="34" customWidth="1"/>
    <col min="14" max="14" width="11.28515625" style="34" bestFit="1" customWidth="1"/>
    <col min="15" max="15" width="10.7109375" style="34" customWidth="1"/>
    <col min="16" max="16384" width="8.85546875" style="34"/>
  </cols>
  <sheetData>
    <row r="1" spans="1:14" x14ac:dyDescent="0.2">
      <c r="A1" s="2" t="s">
        <v>24</v>
      </c>
      <c r="B1" s="16" t="s">
        <v>59</v>
      </c>
      <c r="H1" s="38" t="s">
        <v>91</v>
      </c>
    </row>
    <row r="2" spans="1:14" x14ac:dyDescent="0.2">
      <c r="A2" s="2" t="s">
        <v>10</v>
      </c>
      <c r="B2" s="75" t="s">
        <v>111</v>
      </c>
      <c r="C2" s="76"/>
      <c r="D2" s="76"/>
      <c r="H2" s="48" t="s">
        <v>92</v>
      </c>
    </row>
    <row r="3" spans="1:14" x14ac:dyDescent="0.2">
      <c r="A3" s="2" t="s">
        <v>56</v>
      </c>
      <c r="B3" s="24">
        <v>1</v>
      </c>
      <c r="H3" s="48" t="s">
        <v>93</v>
      </c>
    </row>
    <row r="4" spans="1:14" x14ac:dyDescent="0.2">
      <c r="A4" s="2" t="s">
        <v>57</v>
      </c>
      <c r="B4" s="2">
        <v>12</v>
      </c>
      <c r="H4" s="48" t="s">
        <v>97</v>
      </c>
    </row>
    <row r="5" spans="1:14" x14ac:dyDescent="0.2">
      <c r="A5" s="2" t="s">
        <v>6</v>
      </c>
      <c r="B5" s="2">
        <v>2</v>
      </c>
      <c r="C5" s="33">
        <v>2021</v>
      </c>
      <c r="D5" s="48" t="s">
        <v>107</v>
      </c>
      <c r="H5" s="48" t="s">
        <v>106</v>
      </c>
    </row>
    <row r="6" spans="1:14" x14ac:dyDescent="0.2">
      <c r="A6" s="32" t="s">
        <v>58</v>
      </c>
      <c r="B6" s="2">
        <f>B5+1-B3</f>
        <v>2</v>
      </c>
      <c r="C6" s="3"/>
    </row>
    <row r="8" spans="1:14" ht="19.5" x14ac:dyDescent="0.3">
      <c r="A8" s="73">
        <v>1</v>
      </c>
      <c r="B8" s="73"/>
      <c r="C8" s="73"/>
      <c r="D8" s="73"/>
      <c r="E8" s="73"/>
      <c r="F8" s="73"/>
      <c r="G8" s="52"/>
      <c r="H8" s="73">
        <v>2</v>
      </c>
      <c r="I8" s="73"/>
    </row>
    <row r="9" spans="1:14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  <c r="M9" s="34">
        <v>5599600</v>
      </c>
      <c r="N9" s="34">
        <v>3469500</v>
      </c>
    </row>
    <row r="10" spans="1:14" x14ac:dyDescent="0.2">
      <c r="A10" s="21"/>
      <c r="B10" s="21"/>
      <c r="C10" s="54">
        <v>4924000</v>
      </c>
      <c r="D10" s="21">
        <v>16308</v>
      </c>
      <c r="E10" s="54">
        <v>600000</v>
      </c>
      <c r="F10" s="21">
        <v>29950</v>
      </c>
      <c r="H10" s="2" t="s">
        <v>30</v>
      </c>
      <c r="I10" s="49"/>
      <c r="M10" s="34">
        <v>1500000</v>
      </c>
    </row>
    <row r="11" spans="1:14" x14ac:dyDescent="0.2">
      <c r="A11" s="21"/>
      <c r="B11" s="21"/>
      <c r="C11" s="54">
        <v>494000</v>
      </c>
      <c r="D11" s="21"/>
      <c r="E11" s="21"/>
      <c r="F11" s="21"/>
      <c r="H11" s="2" t="s">
        <v>95</v>
      </c>
      <c r="I11" s="54">
        <v>108360</v>
      </c>
      <c r="J11" s="34">
        <v>111992</v>
      </c>
      <c r="M11" s="34">
        <v>1000000</v>
      </c>
    </row>
    <row r="12" spans="1:14" x14ac:dyDescent="0.2">
      <c r="A12" s="21"/>
      <c r="B12" s="21"/>
      <c r="C12" s="54">
        <v>1000000</v>
      </c>
      <c r="D12" s="21"/>
      <c r="E12" s="21"/>
      <c r="F12" s="21"/>
      <c r="H12" s="2" t="s">
        <v>94</v>
      </c>
      <c r="I12" s="32">
        <v>54180</v>
      </c>
    </row>
    <row r="13" spans="1:14" x14ac:dyDescent="0.2">
      <c r="A13" s="21"/>
      <c r="B13" s="21"/>
      <c r="C13" s="54">
        <v>150000</v>
      </c>
      <c r="D13" s="21"/>
      <c r="E13" s="21"/>
      <c r="F13" s="21"/>
      <c r="H13" s="2"/>
      <c r="I13" s="32"/>
      <c r="J13" s="5"/>
    </row>
    <row r="14" spans="1:14" x14ac:dyDescent="0.2">
      <c r="A14" s="21"/>
      <c r="B14" s="21"/>
      <c r="C14" s="54">
        <v>216720</v>
      </c>
      <c r="D14" s="21"/>
      <c r="E14" s="21"/>
      <c r="F14" s="21"/>
      <c r="H14" s="4" t="s">
        <v>9</v>
      </c>
      <c r="I14" s="8">
        <f>SUM(I10:I12)</f>
        <v>162540</v>
      </c>
      <c r="M14" s="34">
        <v>13440</v>
      </c>
    </row>
    <row r="15" spans="1:14" s="45" customFormat="1" x14ac:dyDescent="0.2">
      <c r="A15" s="21"/>
      <c r="B15" s="21"/>
      <c r="C15" s="54">
        <v>13003</v>
      </c>
      <c r="D15" s="21"/>
      <c r="E15" s="21"/>
      <c r="F15" s="21"/>
      <c r="G15" s="47"/>
      <c r="H15" s="3"/>
      <c r="I15" s="3"/>
      <c r="M15" s="45">
        <v>16799</v>
      </c>
    </row>
    <row r="16" spans="1:14" s="45" customFormat="1" x14ac:dyDescent="0.2">
      <c r="A16" s="21"/>
      <c r="B16" s="21"/>
      <c r="C16" s="54">
        <v>16254</v>
      </c>
      <c r="D16" s="21"/>
      <c r="E16" s="21"/>
      <c r="F16" s="21"/>
      <c r="G16" s="47"/>
      <c r="H16" s="1" t="s">
        <v>11</v>
      </c>
      <c r="I16" s="23">
        <v>341514</v>
      </c>
      <c r="J16" s="45">
        <v>417691</v>
      </c>
    </row>
    <row r="17" spans="1:15" s="45" customFormat="1" x14ac:dyDescent="0.2">
      <c r="A17" s="8">
        <f t="shared" ref="A17:F17" si="0">SUM(A10:A16)</f>
        <v>0</v>
      </c>
      <c r="B17" s="8">
        <f t="shared" si="0"/>
        <v>0</v>
      </c>
      <c r="C17" s="8">
        <f t="shared" si="0"/>
        <v>6813977</v>
      </c>
      <c r="D17" s="8">
        <f t="shared" si="0"/>
        <v>16308</v>
      </c>
      <c r="E17" s="8">
        <f>SUM(E10:E16)</f>
        <v>600000</v>
      </c>
      <c r="F17" s="8">
        <f t="shared" si="0"/>
        <v>29950</v>
      </c>
      <c r="G17" s="47"/>
      <c r="H17" s="1" t="s">
        <v>19</v>
      </c>
      <c r="I17" s="32">
        <v>31498</v>
      </c>
      <c r="J17" s="45">
        <v>82309</v>
      </c>
    </row>
    <row r="18" spans="1:15" x14ac:dyDescent="0.2">
      <c r="A18" s="3"/>
      <c r="B18" s="3"/>
      <c r="C18" s="3"/>
      <c r="D18" s="3"/>
      <c r="E18" s="3"/>
      <c r="F18" s="3"/>
      <c r="H18" s="47"/>
      <c r="I18" s="47"/>
    </row>
    <row r="19" spans="1:15" x14ac:dyDescent="0.2">
      <c r="A19" s="3"/>
      <c r="B19" s="3"/>
      <c r="C19" s="3"/>
      <c r="D19" s="3"/>
      <c r="E19" s="3"/>
      <c r="F19" s="3"/>
      <c r="H19" s="47"/>
      <c r="I19" s="47"/>
      <c r="K19" s="29" t="s">
        <v>38</v>
      </c>
      <c r="L19" s="29"/>
      <c r="M19" s="29"/>
      <c r="N19" s="29"/>
      <c r="O19" s="29"/>
    </row>
    <row r="20" spans="1:15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47"/>
      <c r="H20" s="47"/>
      <c r="I20" s="47"/>
      <c r="K20" s="25"/>
      <c r="L20" s="28" t="s">
        <v>37</v>
      </c>
      <c r="M20" s="28" t="s">
        <v>39</v>
      </c>
      <c r="N20" s="28" t="s">
        <v>43</v>
      </c>
      <c r="O20" s="28" t="s">
        <v>44</v>
      </c>
    </row>
    <row r="21" spans="1:15" x14ac:dyDescent="0.2">
      <c r="A21" s="6">
        <f>A17+C17+D17</f>
        <v>6830285</v>
      </c>
      <c r="B21" s="6">
        <f>B17+E17+F17</f>
        <v>629950</v>
      </c>
      <c r="C21" s="6">
        <f>A21+B21</f>
        <v>7460235</v>
      </c>
      <c r="D21" s="6">
        <f>A21-I14-I16</f>
        <v>6326231</v>
      </c>
      <c r="E21" s="6">
        <f>B21-I17</f>
        <v>598452</v>
      </c>
      <c r="F21" s="47"/>
      <c r="H21" s="47"/>
      <c r="I21" s="47"/>
      <c r="K21" s="27" t="s">
        <v>45</v>
      </c>
      <c r="L21" s="6">
        <f>'Tax Prove Jan'!D21</f>
        <v>6326231</v>
      </c>
      <c r="M21" s="6">
        <f>'Tax Prove Jan'!E21</f>
        <v>0</v>
      </c>
      <c r="N21" s="6">
        <f>'Tax Prove Jan'!E39</f>
        <v>16308</v>
      </c>
      <c r="O21" s="6">
        <f>'Tax Prove Jan'!E38</f>
        <v>0</v>
      </c>
    </row>
    <row r="22" spans="1:15" x14ac:dyDescent="0.2">
      <c r="A22" s="50"/>
      <c r="B22" s="50"/>
      <c r="C22" s="50"/>
      <c r="D22" s="50"/>
      <c r="E22" s="50"/>
      <c r="F22" s="47"/>
      <c r="H22" s="47"/>
      <c r="I22" s="47"/>
      <c r="K22" s="27" t="s">
        <v>46</v>
      </c>
      <c r="L22" s="2"/>
      <c r="M22" s="2"/>
      <c r="N22" s="2"/>
      <c r="O22" s="2"/>
    </row>
    <row r="23" spans="1:15" ht="19.5" x14ac:dyDescent="0.3">
      <c r="A23" s="47"/>
      <c r="B23" s="47"/>
      <c r="C23" s="47"/>
      <c r="D23" s="51">
        <v>3</v>
      </c>
      <c r="E23" s="47"/>
      <c r="F23" s="47"/>
      <c r="H23" s="47"/>
      <c r="I23" s="47"/>
      <c r="K23" s="27" t="s">
        <v>40</v>
      </c>
      <c r="L23" s="6"/>
      <c r="M23" s="6"/>
      <c r="N23" s="6"/>
      <c r="O23" s="6"/>
    </row>
    <row r="24" spans="1:15" x14ac:dyDescent="0.2">
      <c r="A24" s="1" t="s">
        <v>36</v>
      </c>
      <c r="B24" s="1" t="s">
        <v>35</v>
      </c>
      <c r="C24" s="1" t="s">
        <v>34</v>
      </c>
      <c r="D24" s="1" t="s">
        <v>96</v>
      </c>
      <c r="E24" s="1" t="s">
        <v>32</v>
      </c>
      <c r="F24" s="1" t="s">
        <v>61</v>
      </c>
      <c r="H24" s="47"/>
      <c r="I24" s="47"/>
      <c r="K24" s="27" t="s">
        <v>41</v>
      </c>
      <c r="L24" s="6"/>
      <c r="M24" s="6"/>
      <c r="N24" s="6"/>
      <c r="O24" s="6"/>
    </row>
    <row r="25" spans="1:15" x14ac:dyDescent="0.2">
      <c r="A25" s="6">
        <f>(D21+L34)*B4/B6</f>
        <v>75914772</v>
      </c>
      <c r="B25" s="63">
        <f>E21+M34</f>
        <v>598452</v>
      </c>
      <c r="C25" s="64">
        <f>A25+B25</f>
        <v>76513224</v>
      </c>
      <c r="D25" s="62">
        <f>'Tax Prove Jan'!D25</f>
        <v>72000000</v>
      </c>
      <c r="E25" s="6">
        <f>C25-D25</f>
        <v>4513224</v>
      </c>
      <c r="F25" s="6">
        <f>E25-B25</f>
        <v>3914772</v>
      </c>
      <c r="H25" s="47"/>
      <c r="I25" s="47"/>
      <c r="K25" s="27" t="s">
        <v>42</v>
      </c>
      <c r="L25" s="6"/>
      <c r="M25" s="6"/>
      <c r="N25" s="6"/>
      <c r="O25" s="6"/>
    </row>
    <row r="26" spans="1:15" x14ac:dyDescent="0.2">
      <c r="A26" s="3"/>
      <c r="B26" s="3"/>
      <c r="C26" s="3">
        <v>95288867</v>
      </c>
      <c r="D26" s="3"/>
      <c r="E26" s="3"/>
      <c r="F26" s="47"/>
      <c r="H26" s="47"/>
      <c r="I26" s="47"/>
      <c r="K26" s="27" t="s">
        <v>47</v>
      </c>
      <c r="L26" s="2"/>
      <c r="M26" s="2"/>
      <c r="N26" s="2"/>
      <c r="O26" s="2"/>
    </row>
    <row r="27" spans="1:15" x14ac:dyDescent="0.2">
      <c r="A27" s="47" t="s">
        <v>20</v>
      </c>
      <c r="B27" s="47"/>
      <c r="C27" s="47"/>
      <c r="D27" s="47"/>
      <c r="E27" s="1" t="s">
        <v>55</v>
      </c>
      <c r="F27" s="1" t="s">
        <v>62</v>
      </c>
      <c r="H27" s="47"/>
      <c r="I27" s="47"/>
      <c r="K27" s="27" t="s">
        <v>48</v>
      </c>
      <c r="L27" s="2"/>
      <c r="M27" s="2"/>
      <c r="N27" s="2"/>
      <c r="O27" s="2"/>
    </row>
    <row r="28" spans="1:15" x14ac:dyDescent="0.2">
      <c r="A28" s="1" t="s">
        <v>12</v>
      </c>
      <c r="B28" s="1" t="s">
        <v>13</v>
      </c>
      <c r="C28" s="1" t="s">
        <v>8</v>
      </c>
      <c r="D28" s="13"/>
      <c r="E28" s="6">
        <f>E25/1000</f>
        <v>4513.2240000000002</v>
      </c>
      <c r="F28" s="6">
        <f>F25/1000</f>
        <v>3914.7719999999999</v>
      </c>
      <c r="H28" s="47"/>
      <c r="I28" s="47"/>
      <c r="K28" s="27" t="s">
        <v>49</v>
      </c>
      <c r="L28" s="2"/>
      <c r="M28" s="2"/>
      <c r="N28" s="2"/>
      <c r="O28" s="2"/>
    </row>
    <row r="29" spans="1:15" x14ac:dyDescent="0.2">
      <c r="A29" s="10">
        <f>IF(E30&gt;60000000,60000000,E30)</f>
        <v>4513000</v>
      </c>
      <c r="B29" s="7">
        <v>0.05</v>
      </c>
      <c r="C29" s="6">
        <f>A29*B29</f>
        <v>225650</v>
      </c>
      <c r="D29" s="14"/>
      <c r="E29" s="32">
        <f>ROUND(E28,0)</f>
        <v>4513</v>
      </c>
      <c r="F29" s="32">
        <f>ROUND(F28,0)</f>
        <v>3915</v>
      </c>
      <c r="H29" s="47"/>
      <c r="I29" s="47"/>
      <c r="K29" s="27" t="s">
        <v>50</v>
      </c>
      <c r="L29" s="2"/>
      <c r="M29" s="2"/>
      <c r="N29" s="2"/>
      <c r="O29" s="2"/>
    </row>
    <row r="30" spans="1:15" x14ac:dyDescent="0.2">
      <c r="A30" s="10">
        <f>IF(E30-A29&gt;190000000,190000000,E30-A29)</f>
        <v>0</v>
      </c>
      <c r="B30" s="7">
        <v>0.15</v>
      </c>
      <c r="C30" s="6">
        <f>A30*B30</f>
        <v>0</v>
      </c>
      <c r="D30" s="14"/>
      <c r="E30" s="31">
        <f>ROUNDDOWN(E25,-3)</f>
        <v>4513000</v>
      </c>
      <c r="F30" s="31">
        <f>ROUNDDOWN(F25,-3)</f>
        <v>3914000</v>
      </c>
      <c r="H30" s="47"/>
      <c r="I30" s="47"/>
      <c r="K30" s="27" t="s">
        <v>51</v>
      </c>
      <c r="L30" s="2"/>
      <c r="M30" s="2"/>
      <c r="N30" s="2"/>
      <c r="O30" s="2"/>
    </row>
    <row r="31" spans="1:15" x14ac:dyDescent="0.2">
      <c r="A31" s="10">
        <f>IF(E30-(A29+A30)&gt;250000000,250000000,E30-(A29+A30))</f>
        <v>0</v>
      </c>
      <c r="B31" s="7">
        <v>0.25</v>
      </c>
      <c r="C31" s="6">
        <f>A31*B31</f>
        <v>0</v>
      </c>
      <c r="D31" s="14"/>
      <c r="E31" s="30"/>
      <c r="F31" s="3"/>
      <c r="H31" s="47"/>
      <c r="I31" s="47"/>
      <c r="K31" s="27" t="s">
        <v>52</v>
      </c>
      <c r="L31" s="2"/>
      <c r="M31" s="2"/>
      <c r="N31" s="2"/>
      <c r="O31" s="2"/>
    </row>
    <row r="32" spans="1:15" x14ac:dyDescent="0.2">
      <c r="A32" s="10">
        <f>IF(E30-(A29+A30+A31)&gt;4500000000,4500000000,E30-(A29+A30+A31))</f>
        <v>0</v>
      </c>
      <c r="B32" s="7">
        <v>0.3</v>
      </c>
      <c r="C32" s="6">
        <f>A32*B32</f>
        <v>0</v>
      </c>
      <c r="D32" s="14"/>
      <c r="E32" s="30"/>
      <c r="F32" s="3"/>
      <c r="H32" s="47"/>
      <c r="I32" s="47"/>
      <c r="K32" s="27" t="s">
        <v>53</v>
      </c>
      <c r="L32" s="2"/>
      <c r="M32" s="2"/>
      <c r="N32" s="2"/>
      <c r="O32" s="2"/>
    </row>
    <row r="33" spans="1:15" s="65" customFormat="1" x14ac:dyDescent="0.2">
      <c r="A33" s="10">
        <f>IF(E30-(A29+A30+A31+A32)&gt;1,E30-(A29+A30+A31+A32),0)</f>
        <v>0</v>
      </c>
      <c r="B33" s="7">
        <v>0.35</v>
      </c>
      <c r="C33" s="6">
        <f>A33*B33</f>
        <v>0</v>
      </c>
      <c r="D33" s="14"/>
      <c r="E33" s="30"/>
      <c r="F33" s="3"/>
      <c r="K33" s="27"/>
      <c r="L33" s="2"/>
      <c r="M33" s="2"/>
      <c r="N33" s="2"/>
      <c r="O33" s="2"/>
    </row>
    <row r="34" spans="1:15" x14ac:dyDescent="0.2">
      <c r="A34" s="10"/>
      <c r="B34" s="7"/>
      <c r="C34" s="6">
        <f>A34*0.35</f>
        <v>0</v>
      </c>
      <c r="D34" s="14"/>
      <c r="E34" s="15"/>
      <c r="F34" s="3"/>
      <c r="H34" s="47"/>
      <c r="I34" s="47"/>
      <c r="K34" s="26" t="s">
        <v>54</v>
      </c>
      <c r="L34" s="31">
        <f>SUM(L21:L32)</f>
        <v>6326231</v>
      </c>
      <c r="M34" s="31">
        <f>SUM(M21:M32)</f>
        <v>0</v>
      </c>
      <c r="N34" s="31">
        <f>SUM(N21:N32)</f>
        <v>16308</v>
      </c>
      <c r="O34" s="31">
        <f>SUM(O21:O32)</f>
        <v>0</v>
      </c>
    </row>
    <row r="35" spans="1:15" x14ac:dyDescent="0.2">
      <c r="A35" s="71" t="s">
        <v>14</v>
      </c>
      <c r="B35" s="72"/>
      <c r="C35" s="8">
        <f>SUM(C29:C34)</f>
        <v>225650</v>
      </c>
      <c r="D35" s="78"/>
      <c r="E35" s="78"/>
      <c r="F35" s="47"/>
      <c r="H35" s="47"/>
      <c r="I35" s="47"/>
    </row>
    <row r="36" spans="1:15" ht="19.5" x14ac:dyDescent="0.3">
      <c r="A36" s="47"/>
      <c r="B36" s="47"/>
      <c r="C36" s="47"/>
      <c r="D36" s="74">
        <v>4</v>
      </c>
      <c r="E36" s="74"/>
      <c r="F36" s="74"/>
      <c r="H36" s="47"/>
      <c r="I36" s="47"/>
    </row>
    <row r="37" spans="1:15" x14ac:dyDescent="0.2">
      <c r="A37" s="47"/>
      <c r="B37" s="47"/>
      <c r="C37" s="47"/>
      <c r="D37" s="47"/>
      <c r="E37" s="53" t="s">
        <v>98</v>
      </c>
      <c r="F37" s="53" t="s">
        <v>90</v>
      </c>
      <c r="H37" s="47"/>
      <c r="I37" s="47"/>
    </row>
    <row r="38" spans="1:15" x14ac:dyDescent="0.2">
      <c r="A38" s="1" t="s">
        <v>15</v>
      </c>
      <c r="B38" s="6">
        <f>C35-C50</f>
        <v>29950</v>
      </c>
      <c r="C38" s="47"/>
      <c r="D38" s="1" t="s">
        <v>17</v>
      </c>
      <c r="E38" s="63">
        <f>C35-B39-O34</f>
        <v>29950</v>
      </c>
      <c r="F38" s="6">
        <f>E38-F10</f>
        <v>0</v>
      </c>
      <c r="H38" s="47"/>
      <c r="I38" s="47"/>
    </row>
    <row r="39" spans="1:15" x14ac:dyDescent="0.2">
      <c r="A39" s="1" t="s">
        <v>16</v>
      </c>
      <c r="B39" s="6">
        <f>C50</f>
        <v>195700</v>
      </c>
      <c r="C39" s="47"/>
      <c r="D39" s="1" t="s">
        <v>18</v>
      </c>
      <c r="E39" s="6">
        <f>ROUNDDOWN(((B39)*(B6/B4)),0)-N34</f>
        <v>16308</v>
      </c>
      <c r="F39" s="6">
        <f>E39-D10</f>
        <v>0</v>
      </c>
      <c r="H39" s="47"/>
      <c r="I39" s="47"/>
    </row>
    <row r="40" spans="1:15" x14ac:dyDescent="0.2">
      <c r="A40" s="47"/>
      <c r="B40" s="47"/>
      <c r="C40" s="47"/>
      <c r="D40" s="17" t="s">
        <v>23</v>
      </c>
      <c r="E40" s="6">
        <f>E38+E39</f>
        <v>46258</v>
      </c>
      <c r="F40" s="2"/>
      <c r="H40" s="12"/>
      <c r="I40" s="47"/>
    </row>
    <row r="41" spans="1:15" x14ac:dyDescent="0.2">
      <c r="A41" s="47"/>
      <c r="B41" s="47"/>
      <c r="C41" s="47"/>
      <c r="D41" s="47"/>
      <c r="E41" s="47"/>
      <c r="F41" s="13"/>
      <c r="G41" s="13"/>
      <c r="H41" s="12"/>
      <c r="I41" s="47"/>
    </row>
    <row r="42" spans="1:15" x14ac:dyDescent="0.2">
      <c r="A42" s="47" t="s">
        <v>21</v>
      </c>
      <c r="B42" s="47"/>
      <c r="C42" s="47"/>
      <c r="D42" s="38" t="s">
        <v>105</v>
      </c>
      <c r="E42" s="47"/>
      <c r="F42" s="13"/>
      <c r="G42" s="13"/>
      <c r="H42" s="47"/>
      <c r="I42" s="47"/>
    </row>
    <row r="43" spans="1:15" x14ac:dyDescent="0.2">
      <c r="A43" s="1" t="s">
        <v>12</v>
      </c>
      <c r="B43" s="1" t="s">
        <v>13</v>
      </c>
      <c r="C43" s="1" t="s">
        <v>8</v>
      </c>
      <c r="D43" s="47" t="s">
        <v>100</v>
      </c>
      <c r="E43" s="20"/>
      <c r="F43" s="13"/>
      <c r="G43" s="13"/>
      <c r="H43" s="47"/>
      <c r="I43" s="47"/>
    </row>
    <row r="44" spans="1:15" x14ac:dyDescent="0.2">
      <c r="A44" s="10">
        <f>IF(F30&gt;60000000,60000000,F30)</f>
        <v>3914000</v>
      </c>
      <c r="B44" s="7">
        <v>0.05</v>
      </c>
      <c r="C44" s="6">
        <f>A44*B44</f>
        <v>195700</v>
      </c>
      <c r="D44" s="47" t="s">
        <v>101</v>
      </c>
      <c r="E44" s="47"/>
      <c r="F44" s="14"/>
      <c r="G44" s="14"/>
      <c r="H44" s="47"/>
      <c r="I44" s="47"/>
    </row>
    <row r="45" spans="1:15" x14ac:dyDescent="0.2">
      <c r="A45" s="10">
        <f>IF(F30-A44&gt;190000000,190000000,F30-A44)</f>
        <v>0</v>
      </c>
      <c r="B45" s="7">
        <v>0.15</v>
      </c>
      <c r="C45" s="6">
        <f t="shared" ref="C45:C48" si="1">A45*B45</f>
        <v>0</v>
      </c>
      <c r="D45" s="13" t="s">
        <v>102</v>
      </c>
      <c r="E45" s="47"/>
      <c r="F45" s="13"/>
      <c r="G45" s="13"/>
      <c r="H45" s="47"/>
      <c r="I45" s="47"/>
    </row>
    <row r="46" spans="1:15" x14ac:dyDescent="0.2">
      <c r="A46" s="10">
        <f>IF(F30-(A45+A44)&gt;250000000,250000000,F30-(A45+A44))</f>
        <v>0</v>
      </c>
      <c r="B46" s="7">
        <v>0.25</v>
      </c>
      <c r="C46" s="6">
        <f t="shared" si="1"/>
        <v>0</v>
      </c>
      <c r="D46" s="13" t="s">
        <v>103</v>
      </c>
      <c r="E46" s="11"/>
      <c r="F46" s="14"/>
      <c r="G46" s="14"/>
      <c r="H46" s="47"/>
      <c r="I46" s="47"/>
    </row>
    <row r="47" spans="1:15" x14ac:dyDescent="0.2">
      <c r="A47" s="10">
        <f>IF(F30-(A44+A45+A46)&gt;4500000000,4500000000,F30-(A44+A45+A46))</f>
        <v>0</v>
      </c>
      <c r="B47" s="7">
        <v>0.3</v>
      </c>
      <c r="C47" s="6">
        <f t="shared" si="1"/>
        <v>0</v>
      </c>
      <c r="D47" s="13"/>
      <c r="E47" s="47"/>
      <c r="F47" s="14"/>
      <c r="G47" s="14"/>
      <c r="H47" s="47"/>
      <c r="I47" s="47"/>
    </row>
    <row r="48" spans="1:15" s="65" customFormat="1" x14ac:dyDescent="0.2">
      <c r="A48" s="10">
        <f>IF(F30-(A44+A45+A46+A47)&gt;1,F30-(A44+A45+A46+A47),0)</f>
        <v>0</v>
      </c>
      <c r="B48" s="7">
        <v>0.35</v>
      </c>
      <c r="C48" s="6">
        <f t="shared" si="1"/>
        <v>0</v>
      </c>
      <c r="D48" s="13"/>
      <c r="F48" s="14"/>
      <c r="G48" s="14"/>
    </row>
    <row r="49" spans="1:10" x14ac:dyDescent="0.2">
      <c r="A49" s="10"/>
      <c r="B49" s="7"/>
      <c r="C49" s="6">
        <f>A49*0.35</f>
        <v>0</v>
      </c>
      <c r="D49" s="47"/>
      <c r="E49" s="47"/>
      <c r="F49" s="14"/>
      <c r="G49" s="14"/>
      <c r="H49" s="47"/>
      <c r="I49" s="47"/>
      <c r="J49" s="12"/>
    </row>
    <row r="50" spans="1:10" x14ac:dyDescent="0.2">
      <c r="A50" s="71" t="s">
        <v>22</v>
      </c>
      <c r="B50" s="72"/>
      <c r="C50" s="8">
        <f>SUM(C44:C49)</f>
        <v>195700</v>
      </c>
      <c r="D50" s="38" t="s">
        <v>99</v>
      </c>
      <c r="E50" s="47"/>
      <c r="F50" s="14"/>
      <c r="G50" s="14"/>
      <c r="H50" s="47"/>
      <c r="I50" s="47"/>
    </row>
    <row r="51" spans="1:10" x14ac:dyDescent="0.2">
      <c r="A51" s="47"/>
      <c r="B51" s="47"/>
      <c r="C51" s="47"/>
      <c r="D51" s="47" t="s">
        <v>100</v>
      </c>
      <c r="E51" s="47"/>
      <c r="F51" s="14"/>
      <c r="G51" s="14"/>
      <c r="H51" s="47"/>
      <c r="I51" s="47"/>
    </row>
    <row r="52" spans="1:10" x14ac:dyDescent="0.2">
      <c r="A52" s="47"/>
      <c r="B52" s="47"/>
      <c r="C52" s="47"/>
      <c r="D52" s="47" t="s">
        <v>101</v>
      </c>
      <c r="E52" s="47"/>
      <c r="F52" s="14"/>
      <c r="G52" s="14"/>
      <c r="H52" s="47"/>
      <c r="I52" s="47"/>
    </row>
    <row r="53" spans="1:10" x14ac:dyDescent="0.2">
      <c r="A53" s="47"/>
      <c r="B53" s="47"/>
      <c r="C53" s="47"/>
      <c r="D53" s="13" t="s">
        <v>102</v>
      </c>
      <c r="E53" s="47"/>
      <c r="F53" s="47"/>
      <c r="H53" s="47"/>
      <c r="I53" s="47"/>
    </row>
    <row r="54" spans="1:10" x14ac:dyDescent="0.2">
      <c r="A54" s="47"/>
      <c r="B54" s="47"/>
      <c r="C54" s="47"/>
      <c r="D54" s="13" t="s">
        <v>103</v>
      </c>
      <c r="E54" s="47"/>
      <c r="F54" s="47"/>
      <c r="H54" s="47"/>
      <c r="I54" s="47"/>
    </row>
    <row r="55" spans="1:10" x14ac:dyDescent="0.2">
      <c r="A55" s="47"/>
      <c r="B55" s="47"/>
      <c r="C55" s="47"/>
      <c r="D55" s="13" t="s">
        <v>104</v>
      </c>
      <c r="E55" s="47"/>
      <c r="F55" s="47"/>
      <c r="H55" s="47"/>
      <c r="I55" s="47"/>
    </row>
    <row r="56" spans="1:10" x14ac:dyDescent="0.2">
      <c r="A56" s="47"/>
      <c r="B56" s="47"/>
      <c r="C56" s="47"/>
      <c r="D56" s="47"/>
      <c r="E56" s="47"/>
      <c r="F56" s="47"/>
      <c r="H56" s="47"/>
      <c r="I56" s="47"/>
    </row>
    <row r="57" spans="1:10" x14ac:dyDescent="0.2">
      <c r="A57" s="47"/>
      <c r="B57" s="47"/>
      <c r="C57" s="47"/>
      <c r="D57" s="47"/>
      <c r="E57" s="47"/>
      <c r="F57" s="47"/>
      <c r="H57" s="47"/>
      <c r="I57" s="47"/>
    </row>
    <row r="58" spans="1:10" x14ac:dyDescent="0.2">
      <c r="A58" s="47"/>
      <c r="B58" s="47"/>
      <c r="C58" s="47"/>
      <c r="D58" s="47"/>
      <c r="E58" s="47"/>
      <c r="F58" s="47"/>
      <c r="H58" s="47"/>
      <c r="I58" s="47"/>
    </row>
    <row r="59" spans="1:10" x14ac:dyDescent="0.2">
      <c r="A59" s="47"/>
      <c r="B59" s="47"/>
      <c r="C59" s="47"/>
      <c r="D59" s="47"/>
      <c r="E59" s="47"/>
      <c r="F59" s="47"/>
      <c r="H59" s="47"/>
      <c r="I59" s="47"/>
    </row>
    <row r="60" spans="1:10" x14ac:dyDescent="0.2">
      <c r="A60" s="47"/>
      <c r="B60" s="47"/>
      <c r="C60" s="47"/>
      <c r="D60" s="47"/>
      <c r="E60" s="47"/>
      <c r="F60" s="47"/>
      <c r="H60" s="47"/>
      <c r="I60" s="47"/>
    </row>
    <row r="61" spans="1:10" x14ac:dyDescent="0.2">
      <c r="A61" s="47"/>
      <c r="B61" s="47"/>
      <c r="C61" s="47"/>
      <c r="D61" s="47"/>
      <c r="E61" s="47"/>
      <c r="F61" s="47"/>
      <c r="H61" s="47"/>
      <c r="I61" s="47"/>
    </row>
    <row r="62" spans="1:10" x14ac:dyDescent="0.2">
      <c r="A62" s="47"/>
      <c r="B62" s="47"/>
      <c r="C62" s="47"/>
      <c r="D62" s="47"/>
      <c r="E62" s="47"/>
      <c r="F62" s="47"/>
      <c r="H62" s="47"/>
      <c r="I62" s="47"/>
    </row>
  </sheetData>
  <mergeCells count="7">
    <mergeCell ref="A50:B50"/>
    <mergeCell ref="D36:F36"/>
    <mergeCell ref="B2:D2"/>
    <mergeCell ref="A8:F8"/>
    <mergeCell ref="H8:I8"/>
    <mergeCell ref="A35:B35"/>
    <mergeCell ref="D35:E35"/>
  </mergeCells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8"/>
  <sheetViews>
    <sheetView topLeftCell="B1" zoomScale="85" zoomScaleNormal="85" zoomScalePageLayoutView="85" workbookViewId="0">
      <selection activeCell="D13" sqref="D13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3" style="47" customWidth="1"/>
    <col min="8" max="8" width="15.42578125" style="34" customWidth="1"/>
    <col min="9" max="9" width="14.42578125" style="34" customWidth="1"/>
    <col min="10" max="10" width="8.85546875" style="34"/>
    <col min="11" max="11" width="12" style="34" customWidth="1"/>
    <col min="12" max="12" width="11.28515625" style="34" bestFit="1" customWidth="1"/>
    <col min="13" max="13" width="10.7109375" style="34" customWidth="1"/>
    <col min="14" max="14" width="11.28515625" style="34" bestFit="1" customWidth="1"/>
    <col min="15" max="15" width="10.7109375" style="34" customWidth="1"/>
    <col min="16" max="16384" width="8.85546875" style="34"/>
  </cols>
  <sheetData>
    <row r="1" spans="1:13" x14ac:dyDescent="0.2">
      <c r="A1" s="2" t="s">
        <v>24</v>
      </c>
      <c r="B1" s="16" t="s">
        <v>59</v>
      </c>
      <c r="H1" s="38" t="s">
        <v>91</v>
      </c>
    </row>
    <row r="2" spans="1:13" x14ac:dyDescent="0.2">
      <c r="A2" s="2" t="s">
        <v>10</v>
      </c>
      <c r="B2" s="75" t="s">
        <v>111</v>
      </c>
      <c r="C2" s="76"/>
      <c r="D2" s="76"/>
      <c r="H2" s="48" t="s">
        <v>92</v>
      </c>
    </row>
    <row r="3" spans="1:13" x14ac:dyDescent="0.2">
      <c r="A3" s="2" t="s">
        <v>56</v>
      </c>
      <c r="B3" s="24">
        <v>1</v>
      </c>
      <c r="H3" s="48" t="s">
        <v>93</v>
      </c>
    </row>
    <row r="4" spans="1:13" x14ac:dyDescent="0.2">
      <c r="A4" s="2" t="s">
        <v>57</v>
      </c>
      <c r="B4" s="2">
        <v>12</v>
      </c>
      <c r="H4" s="48" t="s">
        <v>97</v>
      </c>
    </row>
    <row r="5" spans="1:13" x14ac:dyDescent="0.2">
      <c r="A5" s="2" t="s">
        <v>6</v>
      </c>
      <c r="B5" s="2">
        <v>3</v>
      </c>
      <c r="C5" s="33">
        <v>2021</v>
      </c>
      <c r="D5" s="48" t="s">
        <v>107</v>
      </c>
      <c r="H5" s="48" t="s">
        <v>106</v>
      </c>
    </row>
    <row r="6" spans="1:13" x14ac:dyDescent="0.2">
      <c r="A6" s="32" t="s">
        <v>58</v>
      </c>
      <c r="B6" s="2">
        <f>B5+1-B3</f>
        <v>3</v>
      </c>
      <c r="C6" s="3"/>
    </row>
    <row r="8" spans="1:13" ht="19.5" x14ac:dyDescent="0.3">
      <c r="A8" s="73">
        <v>1</v>
      </c>
      <c r="B8" s="73"/>
      <c r="C8" s="73"/>
      <c r="D8" s="73"/>
      <c r="E8" s="73"/>
      <c r="F8" s="73"/>
      <c r="G8" s="52"/>
      <c r="H8" s="73">
        <v>2</v>
      </c>
      <c r="I8" s="73"/>
      <c r="J8" s="47"/>
    </row>
    <row r="9" spans="1:13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  <c r="J9" s="47"/>
      <c r="L9" s="34">
        <v>5599600</v>
      </c>
      <c r="M9" s="34">
        <v>5777625</v>
      </c>
    </row>
    <row r="10" spans="1:13" x14ac:dyDescent="0.2">
      <c r="A10" s="21"/>
      <c r="B10" s="21"/>
      <c r="C10" s="31">
        <v>4924000</v>
      </c>
      <c r="D10" s="21">
        <v>16309</v>
      </c>
      <c r="E10" s="31">
        <v>250000</v>
      </c>
      <c r="F10" s="21">
        <v>12450</v>
      </c>
      <c r="H10" s="2" t="s">
        <v>30</v>
      </c>
      <c r="I10" s="49"/>
      <c r="J10" s="47"/>
      <c r="L10" s="34">
        <v>1500000</v>
      </c>
    </row>
    <row r="11" spans="1:13" x14ac:dyDescent="0.2">
      <c r="A11" s="21"/>
      <c r="B11" s="21"/>
      <c r="C11" s="31">
        <v>494000</v>
      </c>
      <c r="D11" s="21"/>
      <c r="E11" s="31"/>
      <c r="F11" s="21"/>
      <c r="H11" s="2" t="s">
        <v>95</v>
      </c>
      <c r="I11" s="54">
        <v>108360</v>
      </c>
      <c r="J11" s="47">
        <v>111992</v>
      </c>
      <c r="L11" s="34">
        <v>1000000</v>
      </c>
    </row>
    <row r="12" spans="1:13" x14ac:dyDescent="0.2">
      <c r="A12" s="21"/>
      <c r="B12" s="21"/>
      <c r="C12" s="31">
        <v>1000000</v>
      </c>
      <c r="D12" s="21"/>
      <c r="E12" s="21"/>
      <c r="F12" s="21"/>
      <c r="H12" s="2" t="s">
        <v>94</v>
      </c>
      <c r="I12" s="32">
        <v>54180</v>
      </c>
      <c r="J12" s="47"/>
      <c r="L12" s="34">
        <v>13440</v>
      </c>
    </row>
    <row r="13" spans="1:13" x14ac:dyDescent="0.2">
      <c r="A13" s="21"/>
      <c r="B13" s="21"/>
      <c r="C13" s="31">
        <v>150000</v>
      </c>
      <c r="D13" s="21"/>
      <c r="E13" s="21"/>
      <c r="F13" s="21"/>
      <c r="H13" s="2"/>
      <c r="I13" s="32"/>
      <c r="J13" s="5"/>
      <c r="L13" s="34">
        <v>16799</v>
      </c>
    </row>
    <row r="14" spans="1:13" x14ac:dyDescent="0.2">
      <c r="A14" s="21"/>
      <c r="B14" s="21"/>
      <c r="C14" s="31">
        <v>216720</v>
      </c>
      <c r="D14" s="21"/>
      <c r="E14" s="21"/>
      <c r="F14" s="21"/>
      <c r="H14" s="4" t="s">
        <v>9</v>
      </c>
      <c r="I14" s="8">
        <f>SUM(I10:I13)</f>
        <v>162540</v>
      </c>
      <c r="J14" s="47"/>
      <c r="L14" s="34">
        <v>223984</v>
      </c>
    </row>
    <row r="15" spans="1:13" x14ac:dyDescent="0.2">
      <c r="A15" s="21"/>
      <c r="B15" s="21"/>
      <c r="C15" s="31">
        <v>13003</v>
      </c>
      <c r="D15" s="21"/>
      <c r="E15" s="21"/>
      <c r="F15" s="21"/>
      <c r="H15" s="3"/>
      <c r="I15" s="3"/>
      <c r="J15" s="47"/>
    </row>
    <row r="16" spans="1:13" s="66" customFormat="1" x14ac:dyDescent="0.2">
      <c r="A16" s="21"/>
      <c r="B16" s="21"/>
      <c r="C16" s="31">
        <v>16254</v>
      </c>
      <c r="D16" s="21"/>
      <c r="E16" s="21"/>
      <c r="F16" s="21"/>
      <c r="H16" s="3"/>
      <c r="I16" s="3"/>
    </row>
    <row r="17" spans="1:15" x14ac:dyDescent="0.2">
      <c r="A17" s="21"/>
      <c r="B17" s="21"/>
      <c r="C17" s="31"/>
      <c r="D17" s="21"/>
      <c r="E17" s="21"/>
      <c r="F17" s="21"/>
      <c r="H17" s="1" t="s">
        <v>11</v>
      </c>
      <c r="I17" s="23">
        <v>341514</v>
      </c>
      <c r="J17" s="47"/>
    </row>
    <row r="18" spans="1:15" x14ac:dyDescent="0.2">
      <c r="A18" s="8">
        <f t="shared" ref="A18:F18" si="0">SUM(A10:A17)</f>
        <v>0</v>
      </c>
      <c r="B18" s="8">
        <f t="shared" si="0"/>
        <v>0</v>
      </c>
      <c r="C18" s="8">
        <f t="shared" si="0"/>
        <v>6813977</v>
      </c>
      <c r="D18" s="8">
        <f t="shared" si="0"/>
        <v>16309</v>
      </c>
      <c r="E18" s="8">
        <f>SUM(E10:E17)</f>
        <v>250000</v>
      </c>
      <c r="F18" s="8">
        <f t="shared" si="0"/>
        <v>12450</v>
      </c>
      <c r="H18" s="1" t="s">
        <v>19</v>
      </c>
      <c r="I18" s="32">
        <v>13123</v>
      </c>
      <c r="J18" s="47"/>
    </row>
    <row r="19" spans="1:15" x14ac:dyDescent="0.2">
      <c r="A19" s="3"/>
      <c r="B19" s="3"/>
      <c r="C19" s="3"/>
      <c r="D19" s="3"/>
      <c r="E19" s="3"/>
      <c r="F19" s="3"/>
      <c r="H19" s="47"/>
      <c r="I19" s="47"/>
      <c r="J19" s="47"/>
    </row>
    <row r="20" spans="1:15" x14ac:dyDescent="0.2">
      <c r="A20" s="3"/>
      <c r="B20" s="3"/>
      <c r="C20" s="3"/>
      <c r="D20" s="3"/>
      <c r="E20" s="3"/>
      <c r="F20" s="3"/>
      <c r="H20" s="47"/>
      <c r="I20" s="47"/>
      <c r="J20" s="47"/>
      <c r="K20" s="29" t="s">
        <v>38</v>
      </c>
      <c r="L20" s="29"/>
      <c r="M20" s="29"/>
      <c r="N20" s="29"/>
      <c r="O20" s="29"/>
    </row>
    <row r="21" spans="1:15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47"/>
      <c r="H21" s="47"/>
      <c r="I21" s="47"/>
      <c r="J21" s="47"/>
      <c r="K21" s="25"/>
      <c r="L21" s="28" t="s">
        <v>37</v>
      </c>
      <c r="M21" s="28" t="s">
        <v>39</v>
      </c>
      <c r="N21" s="28" t="s">
        <v>43</v>
      </c>
      <c r="O21" s="28" t="s">
        <v>44</v>
      </c>
    </row>
    <row r="22" spans="1:15" x14ac:dyDescent="0.2">
      <c r="A22" s="6">
        <f>A18+C18+D18</f>
        <v>6830286</v>
      </c>
      <c r="B22" s="6">
        <f>B18+E18+F18</f>
        <v>262450</v>
      </c>
      <c r="C22" s="6">
        <f>A22+B22</f>
        <v>7092736</v>
      </c>
      <c r="D22" s="6">
        <f>A22-I14-I17</f>
        <v>6326232</v>
      </c>
      <c r="E22" s="6">
        <f>B22-I18</f>
        <v>249327</v>
      </c>
      <c r="F22" s="47">
        <v>8353823</v>
      </c>
      <c r="H22" s="47"/>
      <c r="I22" s="47"/>
      <c r="J22" s="47"/>
      <c r="K22" s="27" t="s">
        <v>45</v>
      </c>
      <c r="L22" s="6">
        <f>'Tax Prove Jan'!D21</f>
        <v>6326231</v>
      </c>
      <c r="M22" s="6">
        <f>'Tax Prove Jan'!E21</f>
        <v>0</v>
      </c>
      <c r="N22" s="6">
        <f>'Tax Prove Jan'!E39</f>
        <v>16308</v>
      </c>
      <c r="O22" s="6">
        <f>'Tax Prove Jan'!E38</f>
        <v>0</v>
      </c>
    </row>
    <row r="23" spans="1:15" x14ac:dyDescent="0.2">
      <c r="A23" s="50"/>
      <c r="B23" s="50"/>
      <c r="C23" s="50"/>
      <c r="D23" s="50"/>
      <c r="E23" s="50"/>
      <c r="F23" s="12">
        <f>F22-D22</f>
        <v>2027591</v>
      </c>
      <c r="H23" s="47"/>
      <c r="I23" s="47"/>
      <c r="J23" s="47"/>
      <c r="K23" s="27" t="s">
        <v>46</v>
      </c>
      <c r="L23" s="6">
        <f>'Tax Prove Feb'!D21</f>
        <v>6326231</v>
      </c>
      <c r="M23" s="6">
        <f>'Tax Prove Feb'!E21</f>
        <v>598452</v>
      </c>
      <c r="N23" s="6">
        <f>'Tax Prove Feb'!E39</f>
        <v>16308</v>
      </c>
      <c r="O23" s="6">
        <f>'Tax Prove Feb'!E38</f>
        <v>29950</v>
      </c>
    </row>
    <row r="24" spans="1:15" ht="19.5" x14ac:dyDescent="0.3">
      <c r="A24" s="47"/>
      <c r="B24" s="47"/>
      <c r="C24" s="47"/>
      <c r="D24" s="51">
        <v>3</v>
      </c>
      <c r="E24" s="47"/>
      <c r="F24" s="47"/>
      <c r="H24" s="47"/>
      <c r="I24" s="47"/>
      <c r="J24" s="47"/>
      <c r="K24" s="27" t="s">
        <v>40</v>
      </c>
      <c r="L24" s="6"/>
      <c r="M24" s="6"/>
      <c r="N24" s="6"/>
      <c r="O24" s="6"/>
    </row>
    <row r="25" spans="1:15" x14ac:dyDescent="0.2">
      <c r="A25" s="1" t="s">
        <v>36</v>
      </c>
      <c r="B25" s="1" t="s">
        <v>35</v>
      </c>
      <c r="C25" s="1" t="s">
        <v>34</v>
      </c>
      <c r="D25" s="1" t="s">
        <v>96</v>
      </c>
      <c r="E25" s="1" t="s">
        <v>32</v>
      </c>
      <c r="F25" s="1" t="s">
        <v>61</v>
      </c>
      <c r="H25" s="47"/>
      <c r="I25" s="47"/>
      <c r="J25" s="47"/>
      <c r="K25" s="27" t="s">
        <v>41</v>
      </c>
      <c r="L25" s="6"/>
      <c r="M25" s="6"/>
      <c r="N25" s="6"/>
      <c r="O25" s="6"/>
    </row>
    <row r="26" spans="1:15" x14ac:dyDescent="0.2">
      <c r="A26" s="6">
        <f>(D22+L35)*B4/B6</f>
        <v>75914776</v>
      </c>
      <c r="B26" s="6">
        <f>E22+M35</f>
        <v>847779</v>
      </c>
      <c r="C26" s="6">
        <f>A26+B26</f>
        <v>76762555</v>
      </c>
      <c r="D26" s="62">
        <f>'Tax Prove Jan'!D25</f>
        <v>72000000</v>
      </c>
      <c r="E26" s="6">
        <f>C26-D26</f>
        <v>4762555</v>
      </c>
      <c r="F26" s="6">
        <f>E26-B26</f>
        <v>3914776</v>
      </c>
      <c r="H26" s="47"/>
      <c r="I26" s="47"/>
      <c r="J26" s="47"/>
      <c r="K26" s="27" t="s">
        <v>42</v>
      </c>
      <c r="L26" s="6"/>
      <c r="M26" s="6"/>
      <c r="N26" s="6"/>
      <c r="O26" s="6"/>
    </row>
    <row r="27" spans="1:15" x14ac:dyDescent="0.2">
      <c r="A27" s="3"/>
      <c r="B27" s="3"/>
      <c r="C27" s="3">
        <v>103565375</v>
      </c>
      <c r="D27" s="3"/>
      <c r="E27" s="3"/>
      <c r="F27" s="47"/>
      <c r="H27" s="47"/>
      <c r="I27" s="47"/>
      <c r="J27" s="47"/>
      <c r="K27" s="27" t="s">
        <v>47</v>
      </c>
      <c r="L27" s="2"/>
      <c r="M27" s="2"/>
      <c r="N27" s="2"/>
      <c r="O27" s="2"/>
    </row>
    <row r="28" spans="1:15" x14ac:dyDescent="0.2">
      <c r="A28" s="47" t="s">
        <v>20</v>
      </c>
      <c r="B28" s="47"/>
      <c r="C28" s="47"/>
      <c r="D28" s="47"/>
      <c r="E28" s="1" t="s">
        <v>55</v>
      </c>
      <c r="F28" s="1" t="s">
        <v>62</v>
      </c>
      <c r="H28" s="47"/>
      <c r="I28" s="47"/>
      <c r="J28" s="47"/>
      <c r="K28" s="27" t="s">
        <v>48</v>
      </c>
      <c r="L28" s="2"/>
      <c r="M28" s="2"/>
      <c r="N28" s="2"/>
      <c r="O28" s="2"/>
    </row>
    <row r="29" spans="1:15" x14ac:dyDescent="0.2">
      <c r="A29" s="1" t="s">
        <v>12</v>
      </c>
      <c r="B29" s="1" t="s">
        <v>13</v>
      </c>
      <c r="C29" s="1" t="s">
        <v>8</v>
      </c>
      <c r="D29" s="13"/>
      <c r="E29" s="6">
        <f>E26/1000</f>
        <v>4762.5550000000003</v>
      </c>
      <c r="F29" s="6">
        <f>F26/1000</f>
        <v>3914.7759999999998</v>
      </c>
      <c r="H29" s="47"/>
      <c r="I29" s="47"/>
      <c r="J29" s="47"/>
      <c r="K29" s="27" t="s">
        <v>49</v>
      </c>
      <c r="L29" s="2"/>
      <c r="M29" s="2"/>
      <c r="N29" s="2"/>
      <c r="O29" s="2"/>
    </row>
    <row r="30" spans="1:15" x14ac:dyDescent="0.2">
      <c r="A30" s="10">
        <f>IF(E31&gt;60000000,60000000,E31)</f>
        <v>4762000</v>
      </c>
      <c r="B30" s="7">
        <v>0.05</v>
      </c>
      <c r="C30" s="6">
        <f>A30*B30</f>
        <v>238100</v>
      </c>
      <c r="D30" s="14"/>
      <c r="E30" s="32">
        <f>ROUND(E29,0)</f>
        <v>4763</v>
      </c>
      <c r="F30" s="32">
        <f>ROUND(F29,0)</f>
        <v>3915</v>
      </c>
      <c r="H30" s="47"/>
      <c r="I30" s="47"/>
      <c r="J30" s="47"/>
      <c r="K30" s="27" t="s">
        <v>50</v>
      </c>
      <c r="L30" s="2"/>
      <c r="M30" s="2"/>
      <c r="N30" s="2"/>
      <c r="O30" s="2"/>
    </row>
    <row r="31" spans="1:15" x14ac:dyDescent="0.2">
      <c r="A31" s="10">
        <f>IF(E31-A30&gt;190000000,190000000,E31-A30)</f>
        <v>0</v>
      </c>
      <c r="B31" s="7">
        <v>0.15</v>
      </c>
      <c r="C31" s="6">
        <f>A31*B31</f>
        <v>0</v>
      </c>
      <c r="D31" s="14"/>
      <c r="E31" s="31">
        <f>ROUNDDOWN(E26,-3)</f>
        <v>4762000</v>
      </c>
      <c r="F31" s="31">
        <f>ROUNDDOWN(F26,-3)</f>
        <v>3914000</v>
      </c>
      <c r="H31" s="47"/>
      <c r="I31" s="47"/>
      <c r="J31" s="47"/>
      <c r="K31" s="27" t="s">
        <v>51</v>
      </c>
      <c r="L31" s="2"/>
      <c r="M31" s="2"/>
      <c r="N31" s="2"/>
      <c r="O31" s="2"/>
    </row>
    <row r="32" spans="1:15" x14ac:dyDescent="0.2">
      <c r="A32" s="10">
        <f>IF(E31-(A30+A31)&gt;250000000,250000000,E31-(A30+A31))</f>
        <v>0</v>
      </c>
      <c r="B32" s="7">
        <v>0.25</v>
      </c>
      <c r="C32" s="6">
        <f>A32*B32</f>
        <v>0</v>
      </c>
      <c r="D32" s="14"/>
      <c r="E32" s="30"/>
      <c r="F32" s="3"/>
      <c r="H32" s="47"/>
      <c r="I32" s="47"/>
      <c r="J32" s="47"/>
      <c r="K32" s="27" t="s">
        <v>52</v>
      </c>
      <c r="L32" s="2"/>
      <c r="M32" s="2"/>
      <c r="N32" s="2"/>
      <c r="O32" s="2"/>
    </row>
    <row r="33" spans="1:15" x14ac:dyDescent="0.2">
      <c r="A33" s="10">
        <f>IF(E31-(A30+A31+A32)&gt;4500000000,4500000000,E31-(A30+A31+A32))</f>
        <v>0</v>
      </c>
      <c r="B33" s="7">
        <v>0.3</v>
      </c>
      <c r="C33" s="6">
        <f>A33*B33</f>
        <v>0</v>
      </c>
      <c r="D33" s="14"/>
      <c r="E33" s="30"/>
      <c r="F33" s="3"/>
      <c r="H33" s="47"/>
      <c r="I33" s="47"/>
      <c r="J33" s="47"/>
      <c r="K33" s="27" t="s">
        <v>53</v>
      </c>
      <c r="L33" s="2"/>
      <c r="M33" s="2"/>
      <c r="N33" s="2"/>
      <c r="O33" s="2"/>
    </row>
    <row r="34" spans="1:15" s="65" customFormat="1" x14ac:dyDescent="0.2">
      <c r="A34" s="10">
        <f>IF(E31-(A30+A31+A32+A33)&gt;1,E31-(A30+A31+A32+A33),0)</f>
        <v>0</v>
      </c>
      <c r="B34" s="7">
        <v>0.35</v>
      </c>
      <c r="C34" s="6">
        <f>A34*B34</f>
        <v>0</v>
      </c>
      <c r="D34" s="14"/>
      <c r="E34" s="30"/>
      <c r="F34" s="3"/>
      <c r="K34" s="27"/>
      <c r="L34" s="2"/>
      <c r="M34" s="2"/>
      <c r="N34" s="2"/>
      <c r="O34" s="2"/>
    </row>
    <row r="35" spans="1:15" x14ac:dyDescent="0.2">
      <c r="A35" s="10"/>
      <c r="B35" s="7"/>
      <c r="C35" s="6">
        <f>A35*0.35</f>
        <v>0</v>
      </c>
      <c r="D35" s="14"/>
      <c r="E35" s="15"/>
      <c r="F35" s="3"/>
      <c r="H35" s="47"/>
      <c r="I35" s="47"/>
      <c r="J35" s="47"/>
      <c r="K35" s="26" t="s">
        <v>54</v>
      </c>
      <c r="L35" s="31">
        <f>SUM(L22:L33)</f>
        <v>12652462</v>
      </c>
      <c r="M35" s="31">
        <f>SUM(M22:M33)</f>
        <v>598452</v>
      </c>
      <c r="N35" s="31">
        <f>SUM(N22:N33)</f>
        <v>32616</v>
      </c>
      <c r="O35" s="31">
        <f>SUM(O22:O33)</f>
        <v>29950</v>
      </c>
    </row>
    <row r="36" spans="1:15" x14ac:dyDescent="0.2">
      <c r="A36" s="71" t="s">
        <v>14</v>
      </c>
      <c r="B36" s="72"/>
      <c r="C36" s="8">
        <f>SUM(C30:C35)</f>
        <v>238100</v>
      </c>
      <c r="D36" s="78"/>
      <c r="E36" s="78"/>
      <c r="F36" s="47"/>
      <c r="H36" s="47"/>
      <c r="I36" s="47"/>
      <c r="J36" s="47"/>
    </row>
    <row r="37" spans="1:15" ht="19.5" x14ac:dyDescent="0.3">
      <c r="A37" s="47"/>
      <c r="B37" s="47"/>
      <c r="C37" s="47"/>
      <c r="D37" s="74">
        <v>4</v>
      </c>
      <c r="E37" s="74"/>
      <c r="F37" s="74"/>
      <c r="H37" s="47"/>
      <c r="I37" s="47"/>
      <c r="J37" s="47"/>
    </row>
    <row r="38" spans="1:15" x14ac:dyDescent="0.2">
      <c r="A38" s="47"/>
      <c r="B38" s="47"/>
      <c r="C38" s="47"/>
      <c r="D38" s="47"/>
      <c r="E38" s="53" t="s">
        <v>98</v>
      </c>
      <c r="F38" s="53" t="s">
        <v>90</v>
      </c>
      <c r="H38" s="47"/>
      <c r="I38" s="47"/>
      <c r="J38" s="47"/>
    </row>
    <row r="39" spans="1:15" x14ac:dyDescent="0.2">
      <c r="A39" s="1" t="s">
        <v>15</v>
      </c>
      <c r="B39" s="6">
        <f>C36-C51</f>
        <v>42400</v>
      </c>
      <c r="C39" s="47"/>
      <c r="D39" s="1" t="s">
        <v>17</v>
      </c>
      <c r="E39" s="6">
        <f>C36-B40-O35</f>
        <v>12450</v>
      </c>
      <c r="F39" s="6">
        <f>E39-F10</f>
        <v>0</v>
      </c>
      <c r="H39" s="47"/>
      <c r="I39" s="47"/>
      <c r="J39" s="47"/>
    </row>
    <row r="40" spans="1:15" x14ac:dyDescent="0.2">
      <c r="A40" s="1" t="s">
        <v>16</v>
      </c>
      <c r="B40" s="6">
        <f>C51</f>
        <v>195700</v>
      </c>
      <c r="C40" s="47"/>
      <c r="D40" s="1" t="s">
        <v>18</v>
      </c>
      <c r="E40" s="6">
        <f>ROUNDDOWN(((B40)*(B6/B4)),0)-N35</f>
        <v>16309</v>
      </c>
      <c r="F40" s="6">
        <f>E40-D10</f>
        <v>0</v>
      </c>
      <c r="H40" s="47"/>
      <c r="I40" s="47"/>
      <c r="J40" s="47"/>
    </row>
    <row r="41" spans="1:15" x14ac:dyDescent="0.2">
      <c r="A41" s="47"/>
      <c r="B41" s="47"/>
      <c r="C41" s="47"/>
      <c r="D41" s="17" t="s">
        <v>23</v>
      </c>
      <c r="E41" s="6">
        <f>E39+E40</f>
        <v>28759</v>
      </c>
      <c r="F41" s="2"/>
      <c r="H41" s="12"/>
      <c r="I41" s="47"/>
      <c r="J41" s="47"/>
    </row>
    <row r="42" spans="1:15" x14ac:dyDescent="0.2">
      <c r="A42" s="47"/>
      <c r="B42" s="47"/>
      <c r="C42" s="47"/>
      <c r="D42" s="47"/>
      <c r="E42" s="47"/>
      <c r="F42" s="13"/>
      <c r="G42" s="13"/>
      <c r="H42" s="12"/>
      <c r="I42" s="47"/>
      <c r="J42" s="47"/>
    </row>
    <row r="43" spans="1:15" x14ac:dyDescent="0.2">
      <c r="A43" s="47" t="s">
        <v>21</v>
      </c>
      <c r="B43" s="47"/>
      <c r="C43" s="47"/>
      <c r="D43" s="38" t="s">
        <v>105</v>
      </c>
      <c r="E43" s="47"/>
      <c r="F43" s="13"/>
      <c r="G43" s="13"/>
      <c r="H43" s="47"/>
      <c r="I43" s="47"/>
      <c r="J43" s="47"/>
    </row>
    <row r="44" spans="1:15" x14ac:dyDescent="0.2">
      <c r="A44" s="1" t="s">
        <v>12</v>
      </c>
      <c r="B44" s="1" t="s">
        <v>13</v>
      </c>
      <c r="C44" s="1" t="s">
        <v>8</v>
      </c>
      <c r="D44" s="47" t="s">
        <v>100</v>
      </c>
      <c r="E44" s="20"/>
      <c r="F44" s="13"/>
      <c r="G44" s="13"/>
      <c r="H44" s="47"/>
      <c r="I44" s="47"/>
      <c r="J44" s="47"/>
    </row>
    <row r="45" spans="1:15" x14ac:dyDescent="0.2">
      <c r="A45" s="10">
        <f>IF(F31&gt;60000000,60000000,F31)</f>
        <v>3914000</v>
      </c>
      <c r="B45" s="7">
        <v>0.05</v>
      </c>
      <c r="C45" s="6">
        <f>A45*B45</f>
        <v>195700</v>
      </c>
      <c r="D45" s="47" t="s">
        <v>101</v>
      </c>
      <c r="E45" s="47"/>
      <c r="F45" s="14"/>
      <c r="G45" s="14"/>
      <c r="H45" s="47"/>
      <c r="I45" s="47"/>
      <c r="J45" s="47"/>
    </row>
    <row r="46" spans="1:15" x14ac:dyDescent="0.2">
      <c r="A46" s="10">
        <f>IF(F31-A45&gt;190000000,190000000,F31-A45)</f>
        <v>0</v>
      </c>
      <c r="B46" s="7">
        <v>0.15</v>
      </c>
      <c r="C46" s="6">
        <f t="shared" ref="C46:C49" si="1">A46*B46</f>
        <v>0</v>
      </c>
      <c r="D46" s="13" t="s">
        <v>102</v>
      </c>
      <c r="E46" s="47"/>
      <c r="F46" s="13"/>
      <c r="G46" s="13"/>
      <c r="H46" s="47"/>
      <c r="I46" s="47"/>
      <c r="J46" s="47"/>
    </row>
    <row r="47" spans="1:15" x14ac:dyDescent="0.2">
      <c r="A47" s="10">
        <f>IF(F31-(A46+A45)&gt;250000000,250000000,F31-(A46+A45))</f>
        <v>0</v>
      </c>
      <c r="B47" s="7">
        <v>0.25</v>
      </c>
      <c r="C47" s="6">
        <f t="shared" si="1"/>
        <v>0</v>
      </c>
      <c r="D47" s="13" t="s">
        <v>103</v>
      </c>
      <c r="E47" s="11"/>
      <c r="F47" s="14"/>
      <c r="G47" s="14"/>
      <c r="H47" s="47"/>
      <c r="I47" s="47"/>
      <c r="J47" s="47"/>
    </row>
    <row r="48" spans="1:15" x14ac:dyDescent="0.2">
      <c r="A48" s="10">
        <f>IF(F31-(A45+A46+A47)&gt;4500000000,4500000000,F31-(A45+A46+A47))</f>
        <v>0</v>
      </c>
      <c r="B48" s="7">
        <v>0.3</v>
      </c>
      <c r="C48" s="6">
        <f t="shared" si="1"/>
        <v>0</v>
      </c>
      <c r="D48" s="13"/>
      <c r="E48" s="47"/>
      <c r="F48" s="14"/>
      <c r="G48" s="14"/>
      <c r="H48" s="47"/>
      <c r="I48" s="47"/>
      <c r="J48" s="12"/>
    </row>
    <row r="49" spans="1:10" s="65" customFormat="1" x14ac:dyDescent="0.2">
      <c r="A49" s="10">
        <f>IF(F31-(A45+A46+A47+A48)&gt;1,F31-(A45+A46+A47+A48),0)</f>
        <v>0</v>
      </c>
      <c r="B49" s="7">
        <v>0.35</v>
      </c>
      <c r="C49" s="6">
        <f t="shared" si="1"/>
        <v>0</v>
      </c>
      <c r="D49" s="13"/>
      <c r="F49" s="14"/>
      <c r="G49" s="14"/>
      <c r="J49" s="12"/>
    </row>
    <row r="50" spans="1:10" x14ac:dyDescent="0.2">
      <c r="A50" s="10"/>
      <c r="B50" s="7"/>
      <c r="C50" s="6">
        <f>A50*0.35</f>
        <v>0</v>
      </c>
      <c r="D50" s="47"/>
      <c r="E50" s="47"/>
      <c r="F50" s="14"/>
      <c r="G50" s="14"/>
      <c r="H50" s="47"/>
      <c r="I50" s="47"/>
      <c r="J50" s="47"/>
    </row>
    <row r="51" spans="1:10" x14ac:dyDescent="0.2">
      <c r="A51" s="71" t="s">
        <v>22</v>
      </c>
      <c r="B51" s="72"/>
      <c r="C51" s="8">
        <f>SUM(C45:C50)</f>
        <v>195700</v>
      </c>
      <c r="D51" s="38" t="s">
        <v>99</v>
      </c>
      <c r="E51" s="47"/>
      <c r="F51" s="14"/>
      <c r="G51" s="14"/>
      <c r="H51" s="47"/>
      <c r="I51" s="47"/>
    </row>
    <row r="52" spans="1:10" x14ac:dyDescent="0.2">
      <c r="A52" s="47"/>
      <c r="B52" s="47"/>
      <c r="C52" s="47"/>
      <c r="D52" s="47" t="s">
        <v>100</v>
      </c>
      <c r="E52" s="47"/>
      <c r="F52" s="14"/>
      <c r="G52" s="14"/>
      <c r="H52" s="47"/>
      <c r="I52" s="47"/>
    </row>
    <row r="53" spans="1:10" x14ac:dyDescent="0.2">
      <c r="A53" s="47"/>
      <c r="B53" s="47"/>
      <c r="C53" s="47"/>
      <c r="D53" s="47" t="s">
        <v>101</v>
      </c>
      <c r="E53" s="47"/>
      <c r="F53" s="14"/>
      <c r="G53" s="14"/>
      <c r="H53" s="47"/>
      <c r="I53" s="47"/>
    </row>
    <row r="54" spans="1:10" x14ac:dyDescent="0.2">
      <c r="A54" s="47"/>
      <c r="B54" s="47"/>
      <c r="C54" s="47"/>
      <c r="D54" s="13" t="s">
        <v>102</v>
      </c>
      <c r="E54" s="47"/>
      <c r="F54" s="47"/>
      <c r="H54" s="47"/>
      <c r="I54" s="47"/>
    </row>
    <row r="55" spans="1:10" x14ac:dyDescent="0.2">
      <c r="A55" s="47"/>
      <c r="B55" s="47"/>
      <c r="C55" s="47"/>
      <c r="D55" s="13" t="s">
        <v>103</v>
      </c>
      <c r="E55" s="47"/>
      <c r="F55" s="47"/>
      <c r="H55" s="47"/>
      <c r="I55" s="47"/>
    </row>
    <row r="56" spans="1:10" x14ac:dyDescent="0.2">
      <c r="A56" s="47"/>
      <c r="B56" s="47"/>
      <c r="C56" s="47"/>
      <c r="D56" s="13" t="s">
        <v>104</v>
      </c>
      <c r="E56" s="47"/>
      <c r="F56" s="47"/>
      <c r="H56" s="47"/>
      <c r="I56" s="47"/>
    </row>
    <row r="57" spans="1:10" x14ac:dyDescent="0.2">
      <c r="A57" s="47"/>
      <c r="B57" s="47"/>
      <c r="C57" s="47"/>
      <c r="D57" s="47"/>
      <c r="E57" s="47"/>
      <c r="F57" s="47"/>
      <c r="H57" s="47"/>
      <c r="I57" s="47"/>
    </row>
    <row r="58" spans="1:10" x14ac:dyDescent="0.2">
      <c r="A58" s="47"/>
      <c r="B58" s="47"/>
      <c r="C58" s="47"/>
      <c r="D58" s="47"/>
      <c r="E58" s="47"/>
      <c r="F58" s="47"/>
      <c r="H58" s="47"/>
      <c r="I58" s="47"/>
    </row>
  </sheetData>
  <mergeCells count="7">
    <mergeCell ref="D37:F37"/>
    <mergeCell ref="A51:B51"/>
    <mergeCell ref="B2:D2"/>
    <mergeCell ref="A8:F8"/>
    <mergeCell ref="H8:I8"/>
    <mergeCell ref="A36:B36"/>
    <mergeCell ref="D36:E36"/>
  </mergeCells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7"/>
  <sheetViews>
    <sheetView topLeftCell="B1" zoomScale="85" zoomScaleNormal="85" zoomScalePageLayoutView="85" workbookViewId="0">
      <selection activeCell="E6" sqref="E6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3" style="48" customWidth="1"/>
    <col min="8" max="8" width="15.42578125" style="34" customWidth="1"/>
    <col min="9" max="9" width="14.42578125" style="34" customWidth="1"/>
    <col min="10" max="10" width="8.85546875" style="34"/>
    <col min="11" max="11" width="12" style="34" customWidth="1"/>
    <col min="12" max="12" width="12.7109375" style="34" bestFit="1" customWidth="1"/>
    <col min="13" max="13" width="10.7109375" style="34" customWidth="1"/>
    <col min="14" max="14" width="11.28515625" style="34" bestFit="1" customWidth="1"/>
    <col min="15" max="15" width="10.7109375" style="34" customWidth="1"/>
    <col min="16" max="16384" width="8.85546875" style="34"/>
  </cols>
  <sheetData>
    <row r="1" spans="1:10" x14ac:dyDescent="0.2">
      <c r="A1" s="2" t="s">
        <v>24</v>
      </c>
      <c r="B1" s="16" t="s">
        <v>59</v>
      </c>
      <c r="H1" s="38" t="s">
        <v>91</v>
      </c>
    </row>
    <row r="2" spans="1:10" x14ac:dyDescent="0.2">
      <c r="A2" s="2" t="s">
        <v>10</v>
      </c>
      <c r="B2" s="75" t="s">
        <v>89</v>
      </c>
      <c r="C2" s="76"/>
      <c r="D2" s="76"/>
      <c r="H2" s="48" t="s">
        <v>92</v>
      </c>
    </row>
    <row r="3" spans="1:10" x14ac:dyDescent="0.2">
      <c r="A3" s="2" t="s">
        <v>56</v>
      </c>
      <c r="B3" s="24">
        <v>1</v>
      </c>
      <c r="H3" s="48" t="s">
        <v>93</v>
      </c>
    </row>
    <row r="4" spans="1:10" x14ac:dyDescent="0.2">
      <c r="A4" s="2" t="s">
        <v>57</v>
      </c>
      <c r="B4" s="2">
        <v>12</v>
      </c>
      <c r="H4" s="48" t="s">
        <v>97</v>
      </c>
    </row>
    <row r="5" spans="1:10" x14ac:dyDescent="0.2">
      <c r="A5" s="2" t="s">
        <v>6</v>
      </c>
      <c r="B5" s="2">
        <v>4</v>
      </c>
      <c r="C5" s="33">
        <v>2021</v>
      </c>
      <c r="D5" s="34" t="s">
        <v>107</v>
      </c>
      <c r="H5" s="48" t="s">
        <v>106</v>
      </c>
    </row>
    <row r="6" spans="1:10" x14ac:dyDescent="0.2">
      <c r="A6" s="32" t="s">
        <v>58</v>
      </c>
      <c r="B6" s="2">
        <f>B5+1-B3</f>
        <v>4</v>
      </c>
      <c r="C6" s="3"/>
    </row>
    <row r="8" spans="1:10" ht="19.5" x14ac:dyDescent="0.3">
      <c r="A8" s="73">
        <v>1</v>
      </c>
      <c r="B8" s="73"/>
      <c r="C8" s="73"/>
      <c r="D8" s="73"/>
      <c r="E8" s="73"/>
      <c r="F8" s="73"/>
      <c r="G8" s="52"/>
      <c r="H8" s="73">
        <v>2</v>
      </c>
      <c r="I8" s="73"/>
    </row>
    <row r="9" spans="1:10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</row>
    <row r="10" spans="1:10" x14ac:dyDescent="0.2">
      <c r="A10" s="21"/>
      <c r="B10" s="21"/>
      <c r="C10" s="31">
        <v>4924000</v>
      </c>
      <c r="D10" s="21">
        <v>16308</v>
      </c>
      <c r="E10" s="31">
        <v>224260</v>
      </c>
      <c r="F10" s="21">
        <v>281350</v>
      </c>
      <c r="H10" s="2"/>
      <c r="I10" s="49"/>
    </row>
    <row r="11" spans="1:10" x14ac:dyDescent="0.2">
      <c r="A11" s="21"/>
      <c r="B11" s="21"/>
      <c r="C11" s="31">
        <v>494000</v>
      </c>
      <c r="D11" s="21"/>
      <c r="E11" s="31">
        <v>5418000</v>
      </c>
      <c r="F11" s="21"/>
      <c r="H11" s="2" t="s">
        <v>95</v>
      </c>
      <c r="I11" s="54">
        <v>108360</v>
      </c>
    </row>
    <row r="12" spans="1:10" x14ac:dyDescent="0.2">
      <c r="A12" s="21"/>
      <c r="B12" s="21"/>
      <c r="C12" s="31">
        <v>1000000</v>
      </c>
      <c r="D12" s="21"/>
      <c r="E12" s="31"/>
      <c r="F12" s="21"/>
      <c r="H12" s="2" t="s">
        <v>94</v>
      </c>
      <c r="I12" s="32">
        <v>54180</v>
      </c>
    </row>
    <row r="13" spans="1:10" x14ac:dyDescent="0.2">
      <c r="A13" s="21"/>
      <c r="B13" s="21"/>
      <c r="C13" s="31">
        <v>150000</v>
      </c>
      <c r="D13" s="21"/>
      <c r="E13" s="21"/>
      <c r="F13" s="21"/>
      <c r="H13" s="2"/>
      <c r="I13" s="32"/>
      <c r="J13" s="5"/>
    </row>
    <row r="14" spans="1:10" x14ac:dyDescent="0.2">
      <c r="A14" s="21"/>
      <c r="B14" s="21"/>
      <c r="C14" s="31">
        <v>216720</v>
      </c>
      <c r="D14" s="21"/>
      <c r="E14" s="21"/>
      <c r="F14" s="21"/>
      <c r="H14" s="4" t="s">
        <v>9</v>
      </c>
      <c r="I14" s="8">
        <f>SUM(I10:I12)</f>
        <v>162540</v>
      </c>
    </row>
    <row r="15" spans="1:10" x14ac:dyDescent="0.2">
      <c r="A15" s="21"/>
      <c r="B15" s="21"/>
      <c r="C15" s="31">
        <v>13003</v>
      </c>
      <c r="D15" s="21"/>
      <c r="E15" s="21"/>
      <c r="F15" s="21"/>
      <c r="H15" s="3"/>
      <c r="I15" s="3"/>
    </row>
    <row r="16" spans="1:10" x14ac:dyDescent="0.2">
      <c r="A16" s="21"/>
      <c r="B16" s="21"/>
      <c r="C16" s="31">
        <v>16254</v>
      </c>
      <c r="D16" s="21"/>
      <c r="E16" s="21"/>
      <c r="F16" s="21"/>
      <c r="H16" s="1" t="s">
        <v>11</v>
      </c>
      <c r="I16" s="23">
        <v>341514</v>
      </c>
    </row>
    <row r="17" spans="1:15" s="66" customFormat="1" x14ac:dyDescent="0.2">
      <c r="A17" s="21"/>
      <c r="B17" s="21"/>
      <c r="C17" s="31"/>
      <c r="D17" s="21"/>
      <c r="E17" s="21"/>
      <c r="F17" s="21"/>
      <c r="H17" s="1"/>
      <c r="I17" s="67"/>
    </row>
    <row r="18" spans="1:15" x14ac:dyDescent="0.2">
      <c r="A18" s="8">
        <f t="shared" ref="A18:F18" si="0">SUM(A10:A16)</f>
        <v>0</v>
      </c>
      <c r="B18" s="8">
        <f t="shared" si="0"/>
        <v>0</v>
      </c>
      <c r="C18" s="8">
        <f>SUM(C10:C17)</f>
        <v>6813977</v>
      </c>
      <c r="D18" s="8">
        <f t="shared" si="0"/>
        <v>16308</v>
      </c>
      <c r="E18" s="8">
        <f>SUM(E10:E16)</f>
        <v>5642260</v>
      </c>
      <c r="F18" s="8">
        <f t="shared" si="0"/>
        <v>281350</v>
      </c>
      <c r="H18" s="1" t="s">
        <v>19</v>
      </c>
      <c r="I18" s="32">
        <v>296181</v>
      </c>
    </row>
    <row r="19" spans="1:15" x14ac:dyDescent="0.2">
      <c r="A19" s="3"/>
      <c r="B19" s="3"/>
      <c r="C19" s="3"/>
      <c r="D19" s="3"/>
      <c r="E19" s="3"/>
      <c r="F19" s="3"/>
      <c r="H19" s="48"/>
      <c r="I19" s="48"/>
    </row>
    <row r="20" spans="1:15" x14ac:dyDescent="0.2">
      <c r="A20" s="3"/>
      <c r="B20" s="3"/>
      <c r="C20" s="3"/>
      <c r="D20" s="3"/>
      <c r="E20" s="3"/>
      <c r="F20" s="3"/>
      <c r="H20" s="48"/>
      <c r="I20" s="48"/>
      <c r="K20" s="29" t="s">
        <v>38</v>
      </c>
      <c r="L20" s="29"/>
      <c r="M20" s="29"/>
      <c r="N20" s="29"/>
      <c r="O20" s="29"/>
    </row>
    <row r="21" spans="1:15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48"/>
      <c r="H21" s="48"/>
      <c r="I21" s="48"/>
      <c r="K21" s="25"/>
      <c r="L21" s="28" t="s">
        <v>37</v>
      </c>
      <c r="M21" s="28" t="s">
        <v>39</v>
      </c>
      <c r="N21" s="28" t="s">
        <v>43</v>
      </c>
      <c r="O21" s="28" t="s">
        <v>44</v>
      </c>
    </row>
    <row r="22" spans="1:15" x14ac:dyDescent="0.2">
      <c r="A22" s="6">
        <f>A18+C18+D18</f>
        <v>6830285</v>
      </c>
      <c r="B22" s="6">
        <f>B18+E18+F18</f>
        <v>5923610</v>
      </c>
      <c r="C22" s="6">
        <f>A22+B22</f>
        <v>12753895</v>
      </c>
      <c r="D22" s="6">
        <f>A22-I14-I16</f>
        <v>6326231</v>
      </c>
      <c r="E22" s="6">
        <f>B22-I18</f>
        <v>5627429</v>
      </c>
      <c r="F22" s="48"/>
      <c r="H22" s="48"/>
      <c r="I22" s="48"/>
      <c r="K22" s="27" t="s">
        <v>45</v>
      </c>
      <c r="L22" s="6">
        <f>'Tax Prove Jan'!D21</f>
        <v>6326231</v>
      </c>
      <c r="M22" s="6">
        <f>'Tax Prove Jan'!E21</f>
        <v>0</v>
      </c>
      <c r="N22" s="6">
        <f>'Tax Prove Jan'!E39</f>
        <v>16308</v>
      </c>
      <c r="O22" s="6">
        <f>'Tax Prove Jan'!E38</f>
        <v>0</v>
      </c>
    </row>
    <row r="23" spans="1:15" x14ac:dyDescent="0.2">
      <c r="A23" s="50"/>
      <c r="B23" s="50"/>
      <c r="C23" s="50"/>
      <c r="D23" s="50"/>
      <c r="E23" s="50"/>
      <c r="F23" s="48"/>
      <c r="H23" s="48"/>
      <c r="I23" s="48"/>
      <c r="K23" s="27" t="s">
        <v>46</v>
      </c>
      <c r="L23" s="6">
        <f>'Tax Prove Feb'!D21</f>
        <v>6326231</v>
      </c>
      <c r="M23" s="6">
        <f>'Tax Prove Feb'!E21</f>
        <v>598452</v>
      </c>
      <c r="N23" s="6">
        <f>'Tax Prove Feb'!E39</f>
        <v>16308</v>
      </c>
      <c r="O23" s="6">
        <f>'Tax Prove Feb'!E38</f>
        <v>29950</v>
      </c>
    </row>
    <row r="24" spans="1:15" ht="19.5" x14ac:dyDescent="0.3">
      <c r="A24" s="48"/>
      <c r="B24" s="48"/>
      <c r="C24" s="48"/>
      <c r="D24" s="55">
        <v>3</v>
      </c>
      <c r="E24" s="48"/>
      <c r="F24" s="48"/>
      <c r="H24" s="48"/>
      <c r="I24" s="48"/>
      <c r="K24" s="27" t="s">
        <v>40</v>
      </c>
      <c r="L24" s="6">
        <f>'Tax Prove Mar'!D22</f>
        <v>6326232</v>
      </c>
      <c r="M24" s="6">
        <f>'Tax Prove Mar'!E22</f>
        <v>249327</v>
      </c>
      <c r="N24" s="6">
        <f>'Tax Prove Mar'!E40</f>
        <v>16309</v>
      </c>
      <c r="O24" s="6">
        <f>'Tax Prove Mar'!E39</f>
        <v>12450</v>
      </c>
    </row>
    <row r="25" spans="1:15" x14ac:dyDescent="0.2">
      <c r="A25" s="1" t="s">
        <v>36</v>
      </c>
      <c r="B25" s="1" t="s">
        <v>35</v>
      </c>
      <c r="C25" s="1" t="s">
        <v>34</v>
      </c>
      <c r="D25" s="1" t="s">
        <v>96</v>
      </c>
      <c r="E25" s="1" t="s">
        <v>32</v>
      </c>
      <c r="F25" s="1" t="s">
        <v>61</v>
      </c>
      <c r="H25" s="48"/>
      <c r="I25" s="48"/>
      <c r="K25" s="27" t="s">
        <v>41</v>
      </c>
      <c r="L25" s="6"/>
      <c r="M25" s="6"/>
      <c r="N25" s="6"/>
      <c r="O25" s="6"/>
    </row>
    <row r="26" spans="1:15" x14ac:dyDescent="0.2">
      <c r="A26" s="6">
        <f>(D22+L35)*B4/B6</f>
        <v>75914775</v>
      </c>
      <c r="B26" s="6">
        <f>E22+M35</f>
        <v>6475208</v>
      </c>
      <c r="C26" s="6">
        <f>A26+B26</f>
        <v>82389983</v>
      </c>
      <c r="D26" s="42">
        <f>'Tax Prove Jan'!D25</f>
        <v>72000000</v>
      </c>
      <c r="E26" s="6">
        <f>C26-D26</f>
        <v>10389983</v>
      </c>
      <c r="F26" s="6">
        <f>E26-B26</f>
        <v>3914775</v>
      </c>
      <c r="H26" s="48"/>
      <c r="I26" s="48"/>
      <c r="K26" s="27" t="s">
        <v>42</v>
      </c>
      <c r="L26" s="6"/>
      <c r="M26" s="6"/>
      <c r="N26" s="6"/>
      <c r="O26" s="6"/>
    </row>
    <row r="27" spans="1:15" x14ac:dyDescent="0.2">
      <c r="A27" s="3"/>
      <c r="B27" s="3"/>
      <c r="C27" s="3">
        <v>111982912</v>
      </c>
      <c r="D27" s="50">
        <f>C26-C27</f>
        <v>-29592929</v>
      </c>
      <c r="E27" s="3"/>
      <c r="F27" s="48"/>
      <c r="H27" s="48"/>
      <c r="I27" s="48"/>
      <c r="K27" s="27" t="s">
        <v>47</v>
      </c>
      <c r="L27" s="2"/>
      <c r="M27" s="2"/>
      <c r="N27" s="2"/>
      <c r="O27" s="2"/>
    </row>
    <row r="28" spans="1:15" x14ac:dyDescent="0.2">
      <c r="A28" s="48" t="s">
        <v>20</v>
      </c>
      <c r="B28" s="48"/>
      <c r="C28" s="48"/>
      <c r="D28" s="48"/>
      <c r="E28" s="1" t="s">
        <v>55</v>
      </c>
      <c r="F28" s="1" t="s">
        <v>62</v>
      </c>
      <c r="H28" s="48"/>
      <c r="I28" s="48"/>
      <c r="K28" s="27" t="s">
        <v>48</v>
      </c>
      <c r="L28" s="2"/>
      <c r="M28" s="2"/>
      <c r="N28" s="2"/>
      <c r="O28" s="2"/>
    </row>
    <row r="29" spans="1:15" x14ac:dyDescent="0.2">
      <c r="A29" s="1" t="s">
        <v>12</v>
      </c>
      <c r="B29" s="1" t="s">
        <v>13</v>
      </c>
      <c r="C29" s="1" t="s">
        <v>8</v>
      </c>
      <c r="D29" s="13"/>
      <c r="E29" s="6">
        <f>E26/1000</f>
        <v>10389.983</v>
      </c>
      <c r="F29" s="6">
        <f>F26/1000</f>
        <v>3914.7750000000001</v>
      </c>
      <c r="H29" s="48"/>
      <c r="I29" s="48"/>
      <c r="K29" s="27" t="s">
        <v>49</v>
      </c>
      <c r="L29" s="2"/>
      <c r="M29" s="2"/>
      <c r="N29" s="2"/>
      <c r="O29" s="2"/>
    </row>
    <row r="30" spans="1:15" x14ac:dyDescent="0.2">
      <c r="A30" s="10">
        <f>IF(E31&gt;60000000,60000000,E31)</f>
        <v>10389000</v>
      </c>
      <c r="B30" s="7">
        <v>0.05</v>
      </c>
      <c r="C30" s="6">
        <f>A30*B30</f>
        <v>519450</v>
      </c>
      <c r="D30" s="14"/>
      <c r="E30" s="32">
        <f>ROUND(E29,0)</f>
        <v>10390</v>
      </c>
      <c r="F30" s="32">
        <f>ROUND(F29,0)</f>
        <v>3915</v>
      </c>
      <c r="H30" s="48"/>
      <c r="I30" s="48"/>
      <c r="K30" s="27" t="s">
        <v>50</v>
      </c>
      <c r="L30" s="2"/>
      <c r="M30" s="2"/>
      <c r="N30" s="2"/>
      <c r="O30" s="2"/>
    </row>
    <row r="31" spans="1:15" x14ac:dyDescent="0.2">
      <c r="A31" s="10">
        <f>IF(E31-A30&gt;190000000,190000000,E31-A30)</f>
        <v>0</v>
      </c>
      <c r="B31" s="7">
        <v>0.15</v>
      </c>
      <c r="C31" s="6">
        <f>A31*B31</f>
        <v>0</v>
      </c>
      <c r="D31" s="14"/>
      <c r="E31" s="31">
        <f>ROUNDDOWN(E26,-3)</f>
        <v>10389000</v>
      </c>
      <c r="F31" s="31">
        <f>ROUNDDOWN(F26,-3)</f>
        <v>3914000</v>
      </c>
      <c r="H31" s="48"/>
      <c r="I31" s="48"/>
      <c r="K31" s="27" t="s">
        <v>51</v>
      </c>
      <c r="L31" s="2"/>
      <c r="M31" s="2"/>
      <c r="N31" s="2"/>
      <c r="O31" s="2"/>
    </row>
    <row r="32" spans="1:15" x14ac:dyDescent="0.2">
      <c r="A32" s="10">
        <f>IF(E31-(A30+A31)&gt;250000000,250000000,E31-(A30+A31))</f>
        <v>0</v>
      </c>
      <c r="B32" s="7">
        <v>0.25</v>
      </c>
      <c r="C32" s="6">
        <f>A32*B32</f>
        <v>0</v>
      </c>
      <c r="D32" s="14"/>
      <c r="E32" s="30"/>
      <c r="F32" s="3"/>
      <c r="H32" s="48"/>
      <c r="I32" s="48"/>
      <c r="K32" s="27" t="s">
        <v>52</v>
      </c>
      <c r="L32" s="2"/>
      <c r="M32" s="2"/>
      <c r="N32" s="2"/>
      <c r="O32" s="2"/>
    </row>
    <row r="33" spans="1:15" x14ac:dyDescent="0.2">
      <c r="A33" s="10">
        <f>IF(E31-(A30+A31+A32)&gt;4500000000,4500000000,E31-(A30+A31+A32))</f>
        <v>0</v>
      </c>
      <c r="B33" s="7">
        <v>0.3</v>
      </c>
      <c r="C33" s="6">
        <f>A33*B33</f>
        <v>0</v>
      </c>
      <c r="D33" s="14"/>
      <c r="E33" s="30"/>
      <c r="F33" s="3"/>
      <c r="H33" s="48"/>
      <c r="I33" s="48"/>
      <c r="K33" s="27" t="s">
        <v>53</v>
      </c>
      <c r="L33" s="2"/>
      <c r="M33" s="2"/>
      <c r="N33" s="2"/>
      <c r="O33" s="2"/>
    </row>
    <row r="34" spans="1:15" s="65" customFormat="1" x14ac:dyDescent="0.2">
      <c r="A34" s="10">
        <f>IF(E31-(A30+A31+A32+A33)&gt;1,E31-(A30+A31+A32+A33),0)</f>
        <v>0</v>
      </c>
      <c r="B34" s="7">
        <v>0.35</v>
      </c>
      <c r="C34" s="6">
        <f>A34*B34</f>
        <v>0</v>
      </c>
      <c r="D34" s="14"/>
      <c r="E34" s="30"/>
      <c r="F34" s="3"/>
      <c r="K34" s="27"/>
      <c r="L34" s="2"/>
      <c r="M34" s="2"/>
      <c r="N34" s="2"/>
      <c r="O34" s="2"/>
    </row>
    <row r="35" spans="1:15" x14ac:dyDescent="0.2">
      <c r="A35" s="10"/>
      <c r="B35" s="7"/>
      <c r="C35" s="6">
        <f>A35*0.35</f>
        <v>0</v>
      </c>
      <c r="D35" s="14"/>
      <c r="E35" s="15"/>
      <c r="F35" s="3"/>
      <c r="H35" s="48"/>
      <c r="I35" s="48"/>
      <c r="K35" s="26" t="s">
        <v>54</v>
      </c>
      <c r="L35" s="31">
        <f>SUM(L22:L33)</f>
        <v>18978694</v>
      </c>
      <c r="M35" s="31">
        <f>SUM(M22:M33)</f>
        <v>847779</v>
      </c>
      <c r="N35" s="31">
        <f>SUM(N22:N33)</f>
        <v>48925</v>
      </c>
      <c r="O35" s="31">
        <f>SUM(O22:O33)</f>
        <v>42400</v>
      </c>
    </row>
    <row r="36" spans="1:15" x14ac:dyDescent="0.2">
      <c r="A36" s="71" t="s">
        <v>14</v>
      </c>
      <c r="B36" s="72"/>
      <c r="C36" s="8">
        <f>SUM(C30:C35)</f>
        <v>519450</v>
      </c>
      <c r="D36" s="78"/>
      <c r="E36" s="78"/>
      <c r="F36" s="48"/>
      <c r="H36" s="48"/>
      <c r="I36" s="48"/>
    </row>
    <row r="37" spans="1:15" ht="19.5" x14ac:dyDescent="0.3">
      <c r="A37" s="48"/>
      <c r="B37" s="48"/>
      <c r="C37" s="48"/>
      <c r="D37" s="74">
        <v>4</v>
      </c>
      <c r="E37" s="74"/>
      <c r="F37" s="74"/>
      <c r="H37" s="48"/>
      <c r="I37" s="48"/>
    </row>
    <row r="38" spans="1:15" x14ac:dyDescent="0.2">
      <c r="A38" s="48"/>
      <c r="B38" s="48"/>
      <c r="C38" s="48"/>
      <c r="D38" s="48"/>
      <c r="E38" s="53" t="s">
        <v>98</v>
      </c>
      <c r="F38" s="53" t="s">
        <v>90</v>
      </c>
      <c r="H38" s="48"/>
      <c r="I38" s="48"/>
    </row>
    <row r="39" spans="1:15" x14ac:dyDescent="0.2">
      <c r="A39" s="1" t="s">
        <v>15</v>
      </c>
      <c r="B39" s="6">
        <f>C36-C51</f>
        <v>323750</v>
      </c>
      <c r="C39" s="48"/>
      <c r="D39" s="1" t="s">
        <v>17</v>
      </c>
      <c r="E39" s="6">
        <f>C36-B40-O35</f>
        <v>281350</v>
      </c>
      <c r="F39" s="6">
        <f>E39-F10</f>
        <v>0</v>
      </c>
      <c r="H39" s="48"/>
      <c r="I39" s="48"/>
    </row>
    <row r="40" spans="1:15" x14ac:dyDescent="0.2">
      <c r="A40" s="1" t="s">
        <v>16</v>
      </c>
      <c r="B40" s="6">
        <f>C51</f>
        <v>195700</v>
      </c>
      <c r="C40" s="48"/>
      <c r="D40" s="1" t="s">
        <v>18</v>
      </c>
      <c r="E40" s="6">
        <f>ROUNDDOWN(((B40)*(B6/B4)),0)-N35</f>
        <v>16308</v>
      </c>
      <c r="F40" s="6">
        <f>E40-D10</f>
        <v>0</v>
      </c>
      <c r="H40" s="48"/>
      <c r="I40" s="48"/>
    </row>
    <row r="41" spans="1:15" x14ac:dyDescent="0.2">
      <c r="A41" s="48"/>
      <c r="B41" s="48"/>
      <c r="C41" s="48"/>
      <c r="D41" s="17" t="s">
        <v>23</v>
      </c>
      <c r="E41" s="6">
        <f>E39+E40</f>
        <v>297658</v>
      </c>
      <c r="F41" s="2"/>
      <c r="H41" s="12"/>
      <c r="I41" s="48"/>
    </row>
    <row r="42" spans="1:15" x14ac:dyDescent="0.2">
      <c r="A42" s="48"/>
      <c r="B42" s="48"/>
      <c r="C42" s="48"/>
      <c r="D42" s="48"/>
      <c r="E42" s="48"/>
      <c r="F42" s="13"/>
      <c r="G42" s="13"/>
      <c r="H42" s="12"/>
      <c r="I42" s="48"/>
    </row>
    <row r="43" spans="1:15" x14ac:dyDescent="0.2">
      <c r="A43" s="48" t="s">
        <v>21</v>
      </c>
      <c r="B43" s="48"/>
      <c r="C43" s="48"/>
      <c r="D43" s="38" t="s">
        <v>105</v>
      </c>
      <c r="E43" s="48"/>
      <c r="F43" s="13"/>
      <c r="G43" s="13"/>
      <c r="H43" s="48"/>
      <c r="I43" s="48"/>
    </row>
    <row r="44" spans="1:15" x14ac:dyDescent="0.2">
      <c r="A44" s="1" t="s">
        <v>12</v>
      </c>
      <c r="B44" s="1" t="s">
        <v>13</v>
      </c>
      <c r="C44" s="1" t="s">
        <v>8</v>
      </c>
      <c r="D44" s="48" t="s">
        <v>100</v>
      </c>
      <c r="E44" s="20"/>
      <c r="F44" s="13"/>
      <c r="G44" s="13"/>
      <c r="H44" s="48"/>
      <c r="I44" s="48"/>
    </row>
    <row r="45" spans="1:15" x14ac:dyDescent="0.2">
      <c r="A45" s="10">
        <f>IF(F31&gt;60000000,60000000,F31)</f>
        <v>3914000</v>
      </c>
      <c r="B45" s="7">
        <v>0.05</v>
      </c>
      <c r="C45" s="6">
        <f>A45*B45</f>
        <v>195700</v>
      </c>
      <c r="D45" s="48" t="s">
        <v>101</v>
      </c>
      <c r="E45" s="48"/>
      <c r="F45" s="14"/>
      <c r="G45" s="14"/>
      <c r="H45" s="48"/>
      <c r="I45" s="48"/>
    </row>
    <row r="46" spans="1:15" x14ac:dyDescent="0.2">
      <c r="A46" s="10">
        <f>IF(F31-A45&gt;190000000,190000000,F31-A45)</f>
        <v>0</v>
      </c>
      <c r="B46" s="7">
        <v>0.15</v>
      </c>
      <c r="C46" s="6">
        <f t="shared" ref="C46:C49" si="1">A46*B46</f>
        <v>0</v>
      </c>
      <c r="D46" s="13" t="s">
        <v>102</v>
      </c>
      <c r="E46" s="48"/>
      <c r="F46" s="13"/>
      <c r="G46" s="13"/>
      <c r="H46" s="48"/>
      <c r="I46" s="48"/>
    </row>
    <row r="47" spans="1:15" x14ac:dyDescent="0.2">
      <c r="A47" s="10">
        <f>IF(F31-(A46+A45)&gt;250000000,250000000,F31-(A46+A45))</f>
        <v>0</v>
      </c>
      <c r="B47" s="7">
        <v>0.25</v>
      </c>
      <c r="C47" s="6">
        <f t="shared" si="1"/>
        <v>0</v>
      </c>
      <c r="D47" s="13" t="s">
        <v>103</v>
      </c>
      <c r="E47" s="11"/>
      <c r="F47" s="14"/>
      <c r="G47" s="14"/>
      <c r="H47" s="48"/>
      <c r="I47" s="48"/>
    </row>
    <row r="48" spans="1:15" x14ac:dyDescent="0.2">
      <c r="A48" s="10">
        <f>IF(F31-(A45+A46+A47)&gt;4500000000,4500000000,F31-(A45+A46+A47))</f>
        <v>0</v>
      </c>
      <c r="B48" s="7">
        <v>0.3</v>
      </c>
      <c r="C48" s="6">
        <f t="shared" si="1"/>
        <v>0</v>
      </c>
      <c r="D48" s="13"/>
      <c r="E48" s="48"/>
      <c r="F48" s="14"/>
      <c r="G48" s="14"/>
      <c r="H48" s="48"/>
      <c r="I48" s="48"/>
      <c r="J48" s="12"/>
    </row>
    <row r="49" spans="1:10" s="65" customFormat="1" x14ac:dyDescent="0.2">
      <c r="A49" s="10">
        <f>IF(F31-(A45+A46+A47+A48)&gt;1,F31-(A45+A46+A47+A48),0)</f>
        <v>0</v>
      </c>
      <c r="B49" s="7">
        <v>0.35</v>
      </c>
      <c r="C49" s="6">
        <f t="shared" si="1"/>
        <v>0</v>
      </c>
      <c r="D49" s="13"/>
      <c r="F49" s="14"/>
      <c r="G49" s="14"/>
      <c r="J49" s="12"/>
    </row>
    <row r="50" spans="1:10" x14ac:dyDescent="0.2">
      <c r="A50" s="10"/>
      <c r="B50" s="7"/>
      <c r="C50" s="6">
        <f>A50*0.35</f>
        <v>0</v>
      </c>
      <c r="D50" s="48"/>
      <c r="E50" s="48"/>
      <c r="F50" s="14"/>
      <c r="G50" s="14"/>
      <c r="H50" s="48"/>
      <c r="I50" s="48"/>
    </row>
    <row r="51" spans="1:10" x14ac:dyDescent="0.2">
      <c r="A51" s="71" t="s">
        <v>22</v>
      </c>
      <c r="B51" s="72"/>
      <c r="C51" s="8">
        <f>SUM(C45:C50)</f>
        <v>195700</v>
      </c>
      <c r="D51" s="38" t="s">
        <v>99</v>
      </c>
      <c r="E51" s="48"/>
      <c r="F51" s="14"/>
      <c r="G51" s="14"/>
      <c r="H51" s="48"/>
      <c r="I51" s="48"/>
    </row>
    <row r="52" spans="1:10" x14ac:dyDescent="0.2">
      <c r="A52" s="48"/>
      <c r="B52" s="48"/>
      <c r="C52" s="48"/>
      <c r="D52" s="48" t="s">
        <v>100</v>
      </c>
      <c r="E52" s="48"/>
      <c r="F52" s="14"/>
      <c r="G52" s="14"/>
      <c r="H52" s="48"/>
      <c r="I52" s="48"/>
    </row>
    <row r="53" spans="1:10" x14ac:dyDescent="0.2">
      <c r="A53" s="48"/>
      <c r="B53" s="48"/>
      <c r="C53" s="48"/>
      <c r="D53" s="48" t="s">
        <v>101</v>
      </c>
      <c r="E53" s="48"/>
      <c r="F53" s="14"/>
      <c r="G53" s="14"/>
      <c r="H53" s="48"/>
      <c r="I53" s="48"/>
    </row>
    <row r="54" spans="1:10" x14ac:dyDescent="0.2">
      <c r="A54" s="48"/>
      <c r="B54" s="48"/>
      <c r="C54" s="48"/>
      <c r="D54" s="13" t="s">
        <v>102</v>
      </c>
      <c r="E54" s="48"/>
      <c r="F54" s="48"/>
      <c r="H54" s="48"/>
      <c r="I54" s="48"/>
    </row>
    <row r="55" spans="1:10" x14ac:dyDescent="0.2">
      <c r="A55" s="48"/>
      <c r="B55" s="48"/>
      <c r="C55" s="48"/>
      <c r="D55" s="13" t="s">
        <v>103</v>
      </c>
      <c r="E55" s="48"/>
      <c r="F55" s="48"/>
      <c r="H55" s="48"/>
      <c r="I55" s="48"/>
    </row>
    <row r="56" spans="1:10" x14ac:dyDescent="0.2">
      <c r="A56" s="48"/>
      <c r="B56" s="48"/>
      <c r="C56" s="48"/>
      <c r="D56" s="13" t="s">
        <v>104</v>
      </c>
      <c r="E56" s="48"/>
      <c r="F56" s="48"/>
      <c r="H56" s="48"/>
      <c r="I56" s="48"/>
    </row>
    <row r="57" spans="1:10" x14ac:dyDescent="0.2">
      <c r="A57" s="48"/>
      <c r="B57" s="48"/>
      <c r="C57" s="48"/>
      <c r="D57" s="48"/>
      <c r="E57" s="48"/>
      <c r="F57" s="48"/>
      <c r="H57" s="48"/>
      <c r="I57" s="48"/>
    </row>
  </sheetData>
  <mergeCells count="7">
    <mergeCell ref="D37:F37"/>
    <mergeCell ref="A51:B51"/>
    <mergeCell ref="B2:D2"/>
    <mergeCell ref="A8:F8"/>
    <mergeCell ref="H8:I8"/>
    <mergeCell ref="A36:B36"/>
    <mergeCell ref="D36:E36"/>
  </mergeCells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5"/>
  <sheetViews>
    <sheetView tabSelected="1" zoomScale="85" zoomScaleNormal="85" zoomScalePageLayoutView="85" workbookViewId="0">
      <selection activeCell="E5" sqref="E5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2.85546875" style="48" customWidth="1"/>
    <col min="8" max="8" width="15.42578125" style="34" customWidth="1"/>
    <col min="9" max="9" width="14.42578125" style="34" customWidth="1"/>
    <col min="10" max="10" width="8.85546875" style="34"/>
    <col min="11" max="11" width="12" style="34" customWidth="1"/>
    <col min="12" max="12" width="12.7109375" style="34" bestFit="1" customWidth="1"/>
    <col min="13" max="13" width="10.7109375" style="34" customWidth="1"/>
    <col min="14" max="14" width="11.28515625" style="34" bestFit="1" customWidth="1"/>
    <col min="15" max="15" width="10.7109375" style="34" customWidth="1"/>
    <col min="16" max="16384" width="8.85546875" style="34"/>
  </cols>
  <sheetData>
    <row r="1" spans="1:10" x14ac:dyDescent="0.2">
      <c r="A1" s="2" t="s">
        <v>24</v>
      </c>
      <c r="B1" s="16" t="s">
        <v>59</v>
      </c>
      <c r="H1" s="38" t="s">
        <v>91</v>
      </c>
    </row>
    <row r="2" spans="1:10" x14ac:dyDescent="0.2">
      <c r="A2" s="2" t="s">
        <v>10</v>
      </c>
      <c r="B2" s="75" t="s">
        <v>111</v>
      </c>
      <c r="C2" s="76"/>
      <c r="D2" s="76"/>
      <c r="H2" s="48" t="s">
        <v>92</v>
      </c>
    </row>
    <row r="3" spans="1:10" x14ac:dyDescent="0.2">
      <c r="A3" s="2" t="s">
        <v>56</v>
      </c>
      <c r="B3" s="24">
        <v>1</v>
      </c>
      <c r="H3" s="48" t="s">
        <v>93</v>
      </c>
    </row>
    <row r="4" spans="1:10" x14ac:dyDescent="0.2">
      <c r="A4" s="2" t="s">
        <v>57</v>
      </c>
      <c r="B4" s="2">
        <v>12</v>
      </c>
      <c r="H4" s="48" t="s">
        <v>97</v>
      </c>
    </row>
    <row r="5" spans="1:10" x14ac:dyDescent="0.2">
      <c r="A5" s="2" t="s">
        <v>6</v>
      </c>
      <c r="B5" s="2">
        <v>5</v>
      </c>
      <c r="C5" s="33">
        <v>2021</v>
      </c>
      <c r="H5" s="48" t="s">
        <v>106</v>
      </c>
    </row>
    <row r="6" spans="1:10" x14ac:dyDescent="0.2">
      <c r="A6" s="32" t="s">
        <v>58</v>
      </c>
      <c r="B6" s="2">
        <f>B5+1-B3</f>
        <v>5</v>
      </c>
      <c r="C6" s="3"/>
    </row>
    <row r="8" spans="1:10" ht="19.5" x14ac:dyDescent="0.3">
      <c r="A8" s="73">
        <v>1</v>
      </c>
      <c r="B8" s="73"/>
      <c r="C8" s="73"/>
      <c r="D8" s="73"/>
      <c r="E8" s="73"/>
      <c r="F8" s="73"/>
      <c r="G8" s="52"/>
      <c r="H8" s="73">
        <v>2</v>
      </c>
      <c r="I8" s="73"/>
    </row>
    <row r="9" spans="1:10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</row>
    <row r="10" spans="1:10" x14ac:dyDescent="0.2">
      <c r="A10" s="21"/>
      <c r="B10" s="21"/>
      <c r="C10" s="31">
        <v>158838</v>
      </c>
      <c r="D10" s="21">
        <v>201996</v>
      </c>
      <c r="E10" s="21">
        <v>3670258</v>
      </c>
      <c r="F10" s="21">
        <v>-323750</v>
      </c>
      <c r="H10" s="2"/>
      <c r="I10" s="49"/>
    </row>
    <row r="11" spans="1:10" x14ac:dyDescent="0.2">
      <c r="A11" s="21"/>
      <c r="B11" s="21"/>
      <c r="C11" s="31">
        <v>15935</v>
      </c>
      <c r="D11" s="21"/>
      <c r="E11" s="21"/>
      <c r="F11" s="21"/>
      <c r="H11" s="2" t="s">
        <v>95</v>
      </c>
      <c r="I11" s="54">
        <v>0</v>
      </c>
    </row>
    <row r="12" spans="1:10" x14ac:dyDescent="0.2">
      <c r="A12" s="21"/>
      <c r="B12" s="21"/>
      <c r="C12" s="31">
        <v>32258</v>
      </c>
      <c r="D12" s="21"/>
      <c r="E12" s="21"/>
      <c r="F12" s="21"/>
      <c r="H12" s="2" t="s">
        <v>94</v>
      </c>
      <c r="I12" s="32">
        <v>0</v>
      </c>
    </row>
    <row r="13" spans="1:10" x14ac:dyDescent="0.2">
      <c r="A13" s="21"/>
      <c r="B13" s="21"/>
      <c r="C13" s="31">
        <v>4838</v>
      </c>
      <c r="D13" s="21"/>
      <c r="E13" s="21"/>
      <c r="F13" s="21"/>
      <c r="H13" s="2"/>
      <c r="I13" s="32"/>
      <c r="J13" s="5"/>
    </row>
    <row r="14" spans="1:10" x14ac:dyDescent="0.2">
      <c r="A14" s="21"/>
      <c r="B14" s="21"/>
      <c r="C14" s="31"/>
      <c r="D14" s="21"/>
      <c r="E14" s="21"/>
      <c r="F14" s="21"/>
      <c r="H14" s="4" t="s">
        <v>9</v>
      </c>
      <c r="I14" s="8">
        <f>SUM(I10:I12)</f>
        <v>0</v>
      </c>
    </row>
    <row r="15" spans="1:10" x14ac:dyDescent="0.2">
      <c r="A15" s="21"/>
      <c r="B15" s="21"/>
      <c r="C15" s="31"/>
      <c r="D15" s="21"/>
      <c r="E15" s="21"/>
      <c r="F15" s="21"/>
      <c r="H15" s="3"/>
      <c r="I15" s="3"/>
    </row>
    <row r="16" spans="1:10" x14ac:dyDescent="0.2">
      <c r="A16" s="21"/>
      <c r="B16" s="21"/>
      <c r="C16" s="31"/>
      <c r="D16" s="21"/>
      <c r="E16" s="21"/>
      <c r="F16" s="21"/>
      <c r="H16" s="1" t="s">
        <v>11</v>
      </c>
      <c r="I16" s="23">
        <v>12400</v>
      </c>
    </row>
    <row r="17" spans="1:15" x14ac:dyDescent="0.2">
      <c r="A17" s="8">
        <f t="shared" ref="A17:F17" si="0">SUM(A10:A16)</f>
        <v>0</v>
      </c>
      <c r="B17" s="8">
        <f t="shared" si="0"/>
        <v>0</v>
      </c>
      <c r="C17" s="8">
        <f t="shared" si="0"/>
        <v>211869</v>
      </c>
      <c r="D17" s="8">
        <f t="shared" si="0"/>
        <v>201996</v>
      </c>
      <c r="E17" s="8">
        <f>SUM(E10:E16)</f>
        <v>3670258</v>
      </c>
      <c r="F17" s="8">
        <f t="shared" si="0"/>
        <v>-323750</v>
      </c>
      <c r="H17" s="1" t="s">
        <v>19</v>
      </c>
      <c r="I17" s="32">
        <v>183512</v>
      </c>
    </row>
    <row r="18" spans="1:15" x14ac:dyDescent="0.2">
      <c r="A18" s="3"/>
      <c r="B18" s="3"/>
      <c r="C18" s="50"/>
      <c r="D18" s="3"/>
      <c r="E18" s="3"/>
      <c r="F18" s="3"/>
      <c r="H18" s="48"/>
      <c r="I18" s="48"/>
    </row>
    <row r="19" spans="1:15" x14ac:dyDescent="0.2">
      <c r="A19" s="3"/>
      <c r="B19" s="3"/>
      <c r="C19" s="3"/>
      <c r="D19" s="3"/>
      <c r="E19" s="3"/>
      <c r="F19" s="3"/>
      <c r="H19" s="48"/>
      <c r="I19" s="48"/>
      <c r="K19" s="29" t="s">
        <v>38</v>
      </c>
      <c r="L19" s="29"/>
      <c r="M19" s="29"/>
      <c r="N19" s="29"/>
      <c r="O19" s="29"/>
    </row>
    <row r="20" spans="1:15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48"/>
      <c r="H20" s="48"/>
      <c r="I20" s="48"/>
      <c r="K20" s="25"/>
      <c r="L20" s="28" t="s">
        <v>37</v>
      </c>
      <c r="M20" s="28" t="s">
        <v>39</v>
      </c>
      <c r="N20" s="28" t="s">
        <v>43</v>
      </c>
      <c r="O20" s="28" t="s">
        <v>44</v>
      </c>
    </row>
    <row r="21" spans="1:15" x14ac:dyDescent="0.2">
      <c r="A21" s="6">
        <f>A17+C17+D17</f>
        <v>413865</v>
      </c>
      <c r="B21" s="6">
        <f>B17+E17+F17</f>
        <v>3346508</v>
      </c>
      <c r="C21" s="6">
        <f>A21+B21</f>
        <v>3760373</v>
      </c>
      <c r="D21" s="6">
        <f>A21-I14-I16</f>
        <v>401465</v>
      </c>
      <c r="E21" s="6">
        <f>B21-I17</f>
        <v>3162996</v>
      </c>
      <c r="F21" s="48"/>
      <c r="H21" s="48"/>
      <c r="I21" s="48"/>
      <c r="K21" s="27" t="s">
        <v>45</v>
      </c>
      <c r="L21" s="6">
        <f>'Tax Prove Jan'!D21</f>
        <v>6326231</v>
      </c>
      <c r="M21" s="6">
        <f>'Tax Prove Jan'!E21</f>
        <v>0</v>
      </c>
      <c r="N21" s="6">
        <f>'Tax Prove Jan'!E39</f>
        <v>16308</v>
      </c>
      <c r="O21" s="6">
        <f>'Tax Prove Jan'!E38</f>
        <v>0</v>
      </c>
    </row>
    <row r="22" spans="1:15" x14ac:dyDescent="0.2">
      <c r="A22" s="50"/>
      <c r="B22" s="50"/>
      <c r="C22" s="50"/>
      <c r="D22" s="50"/>
      <c r="E22" s="50"/>
      <c r="F22" s="48"/>
      <c r="H22" s="48"/>
      <c r="I22" s="48"/>
      <c r="K22" s="27" t="s">
        <v>46</v>
      </c>
      <c r="L22" s="6">
        <f>'Tax Prove Feb'!D21</f>
        <v>6326231</v>
      </c>
      <c r="M22" s="6">
        <f>'Tax Prove Feb'!E21</f>
        <v>598452</v>
      </c>
      <c r="N22" s="6">
        <f>'Tax Prove Feb'!E39</f>
        <v>16308</v>
      </c>
      <c r="O22" s="6">
        <f>'Tax Prove Feb'!E38</f>
        <v>29950</v>
      </c>
    </row>
    <row r="23" spans="1:15" ht="19.5" x14ac:dyDescent="0.3">
      <c r="A23" s="48"/>
      <c r="B23" s="48"/>
      <c r="C23" s="48"/>
      <c r="D23" s="55">
        <v>3</v>
      </c>
      <c r="E23" s="48"/>
      <c r="F23" s="48"/>
      <c r="H23" s="48"/>
      <c r="I23" s="48"/>
      <c r="K23" s="27" t="s">
        <v>40</v>
      </c>
      <c r="L23" s="6">
        <f>'Tax Prove Mar'!D22</f>
        <v>6326232</v>
      </c>
      <c r="M23" s="6">
        <f>'Tax Prove Mar'!E22</f>
        <v>249327</v>
      </c>
      <c r="N23" s="6">
        <f>'Tax Prove Mar'!E40</f>
        <v>16309</v>
      </c>
      <c r="O23" s="6">
        <f>'Tax Prove Mar'!E39</f>
        <v>12450</v>
      </c>
    </row>
    <row r="24" spans="1:15" x14ac:dyDescent="0.2">
      <c r="A24" s="1" t="s">
        <v>36</v>
      </c>
      <c r="B24" s="1" t="s">
        <v>35</v>
      </c>
      <c r="C24" s="1" t="s">
        <v>34</v>
      </c>
      <c r="D24" s="1" t="s">
        <v>96</v>
      </c>
      <c r="E24" s="1" t="s">
        <v>32</v>
      </c>
      <c r="F24" s="1" t="s">
        <v>61</v>
      </c>
      <c r="H24" s="48"/>
      <c r="I24" s="48"/>
      <c r="K24" s="27" t="s">
        <v>41</v>
      </c>
      <c r="L24" s="6">
        <f>'Tax Prove Apr'!D22</f>
        <v>6326231</v>
      </c>
      <c r="M24" s="6">
        <f>'Tax Prove Apr'!E22</f>
        <v>5627429</v>
      </c>
      <c r="N24" s="6">
        <f>'Tax Prove Apr'!E40</f>
        <v>16308</v>
      </c>
      <c r="O24" s="6">
        <f>'Tax Prove Apr'!E39</f>
        <v>281350</v>
      </c>
    </row>
    <row r="25" spans="1:15" x14ac:dyDescent="0.2">
      <c r="A25" s="68">
        <f>((D21+L34)+(E21+M34))*B4/B6</f>
        <v>84827025.599999994</v>
      </c>
      <c r="B25" s="6">
        <f>(E21+M34)*0</f>
        <v>0</v>
      </c>
      <c r="C25" s="6">
        <f>A25+B25</f>
        <v>84827025.599999994</v>
      </c>
      <c r="D25" s="42">
        <f>'Tax Prove Jan'!D25</f>
        <v>72000000</v>
      </c>
      <c r="E25" s="6">
        <f>C25-D25</f>
        <v>12827025.599999994</v>
      </c>
      <c r="F25" s="6">
        <f>E25-B25</f>
        <v>12827025.599999994</v>
      </c>
      <c r="H25" s="48"/>
      <c r="I25" s="48"/>
      <c r="K25" s="27" t="s">
        <v>42</v>
      </c>
      <c r="L25" s="6"/>
      <c r="M25" s="6"/>
      <c r="N25" s="6"/>
      <c r="O25" s="6"/>
    </row>
    <row r="26" spans="1:15" x14ac:dyDescent="0.2">
      <c r="A26" s="3"/>
      <c r="B26" s="3"/>
      <c r="C26" s="3"/>
      <c r="D26" s="3"/>
      <c r="E26" s="3"/>
      <c r="F26" s="48"/>
      <c r="H26" s="48"/>
      <c r="I26" s="48"/>
      <c r="K26" s="27" t="s">
        <v>47</v>
      </c>
      <c r="L26" s="2"/>
      <c r="M26" s="2"/>
      <c r="N26" s="2"/>
      <c r="O26" s="2"/>
    </row>
    <row r="27" spans="1:15" x14ac:dyDescent="0.2">
      <c r="A27" s="48" t="s">
        <v>20</v>
      </c>
      <c r="B27" s="48"/>
      <c r="C27" s="48"/>
      <c r="D27" s="48"/>
      <c r="E27" s="1" t="s">
        <v>55</v>
      </c>
      <c r="F27" s="1" t="s">
        <v>62</v>
      </c>
      <c r="H27" s="48"/>
      <c r="I27" s="48"/>
      <c r="K27" s="27" t="s">
        <v>48</v>
      </c>
      <c r="L27" s="2"/>
      <c r="M27" s="2"/>
      <c r="N27" s="2"/>
      <c r="O27" s="2"/>
    </row>
    <row r="28" spans="1:15" x14ac:dyDescent="0.2">
      <c r="A28" s="1" t="s">
        <v>12</v>
      </c>
      <c r="B28" s="1" t="s">
        <v>13</v>
      </c>
      <c r="C28" s="1" t="s">
        <v>8</v>
      </c>
      <c r="D28" s="13"/>
      <c r="E28" s="6">
        <f>E25/1000</f>
        <v>12827.025599999994</v>
      </c>
      <c r="F28" s="6">
        <f>F25/1000</f>
        <v>12827.025599999994</v>
      </c>
      <c r="H28" s="48"/>
      <c r="I28" s="48"/>
      <c r="K28" s="27" t="s">
        <v>49</v>
      </c>
      <c r="L28" s="2"/>
      <c r="M28" s="2"/>
      <c r="N28" s="2"/>
      <c r="O28" s="2"/>
    </row>
    <row r="29" spans="1:15" x14ac:dyDescent="0.2">
      <c r="A29" s="10">
        <f>IF(E30&gt;60000000,60000000,E30)</f>
        <v>12827000</v>
      </c>
      <c r="B29" s="7">
        <v>0.05</v>
      </c>
      <c r="C29" s="6">
        <f>A29*B29</f>
        <v>641350</v>
      </c>
      <c r="D29" s="14"/>
      <c r="E29" s="32">
        <f>ROUND(E28,0)</f>
        <v>12827</v>
      </c>
      <c r="F29" s="32">
        <f>ROUND(F28,0)</f>
        <v>12827</v>
      </c>
      <c r="H29" s="48"/>
      <c r="I29" s="48"/>
      <c r="K29" s="27" t="s">
        <v>50</v>
      </c>
      <c r="L29" s="2"/>
      <c r="M29" s="2"/>
      <c r="N29" s="2"/>
      <c r="O29" s="2"/>
    </row>
    <row r="30" spans="1:15" x14ac:dyDescent="0.2">
      <c r="A30" s="10">
        <f>IF(E30-A29&gt;190000000,190000000,E30-A29)</f>
        <v>0</v>
      </c>
      <c r="B30" s="7">
        <v>0.15</v>
      </c>
      <c r="C30" s="6">
        <f>A30*B30</f>
        <v>0</v>
      </c>
      <c r="D30" s="14"/>
      <c r="E30" s="31">
        <f>ROUNDDOWN(E25,-3)</f>
        <v>12827000</v>
      </c>
      <c r="F30" s="31">
        <f>ROUNDDOWN(F25,-3)</f>
        <v>12827000</v>
      </c>
      <c r="H30" s="48"/>
      <c r="I30" s="48"/>
      <c r="K30" s="27" t="s">
        <v>51</v>
      </c>
      <c r="L30" s="2"/>
      <c r="M30" s="2"/>
      <c r="N30" s="2"/>
      <c r="O30" s="2"/>
    </row>
    <row r="31" spans="1:15" x14ac:dyDescent="0.2">
      <c r="A31" s="10">
        <f>IF(E30-(A29+A30)&gt;250000000,250000000,E30-(A29+A30))</f>
        <v>0</v>
      </c>
      <c r="B31" s="7">
        <v>0.25</v>
      </c>
      <c r="C31" s="6">
        <f>A31*B31</f>
        <v>0</v>
      </c>
      <c r="D31" s="14"/>
      <c r="E31" s="30"/>
      <c r="F31" s="3"/>
      <c r="H31" s="48"/>
      <c r="I31" s="48"/>
      <c r="K31" s="27" t="s">
        <v>52</v>
      </c>
      <c r="L31" s="2"/>
      <c r="M31" s="2"/>
      <c r="N31" s="2"/>
      <c r="O31" s="2"/>
    </row>
    <row r="32" spans="1:15" x14ac:dyDescent="0.2">
      <c r="A32" s="10">
        <f>IF(E30-(A29+A30+A31)&gt;4500000000,4500000000,E30-(A29+A30+A31))</f>
        <v>0</v>
      </c>
      <c r="B32" s="7">
        <v>0.3</v>
      </c>
      <c r="C32" s="6">
        <f>A32*B32</f>
        <v>0</v>
      </c>
      <c r="D32" s="14"/>
      <c r="E32" s="30"/>
      <c r="F32" s="3"/>
      <c r="H32" s="48"/>
      <c r="I32" s="48"/>
      <c r="K32" s="27" t="s">
        <v>53</v>
      </c>
      <c r="L32" s="2"/>
      <c r="M32" s="2"/>
      <c r="N32" s="2"/>
      <c r="O32" s="2"/>
    </row>
    <row r="33" spans="1:15" s="65" customFormat="1" x14ac:dyDescent="0.2">
      <c r="A33" s="10">
        <f>IF(E30-(A29+A30+A31+A32)&gt;1,E30-(A29+A30+A31+A32),0)</f>
        <v>0</v>
      </c>
      <c r="B33" s="7">
        <v>0.35</v>
      </c>
      <c r="C33" s="6">
        <f>A33*B33</f>
        <v>0</v>
      </c>
      <c r="D33" s="14"/>
      <c r="E33" s="30"/>
      <c r="F33" s="3"/>
      <c r="K33" s="27"/>
      <c r="L33" s="2"/>
      <c r="M33" s="2"/>
      <c r="N33" s="2"/>
      <c r="O33" s="2"/>
    </row>
    <row r="34" spans="1:15" x14ac:dyDescent="0.2">
      <c r="A34" s="10"/>
      <c r="B34" s="7"/>
      <c r="C34" s="6">
        <f>A34*0.35</f>
        <v>0</v>
      </c>
      <c r="D34" s="14"/>
      <c r="E34" s="15"/>
      <c r="F34" s="3"/>
      <c r="H34" s="48"/>
      <c r="I34" s="48"/>
      <c r="K34" s="26" t="s">
        <v>54</v>
      </c>
      <c r="L34" s="31">
        <f>SUM(L21:L32)</f>
        <v>25304925</v>
      </c>
      <c r="M34" s="31">
        <f>SUM(M21:M32)</f>
        <v>6475208</v>
      </c>
      <c r="N34" s="31">
        <f>SUM(N21:N32)</f>
        <v>65233</v>
      </c>
      <c r="O34" s="31">
        <f>SUM(O21:O32)</f>
        <v>323750</v>
      </c>
    </row>
    <row r="35" spans="1:15" x14ac:dyDescent="0.2">
      <c r="A35" s="71" t="s">
        <v>14</v>
      </c>
      <c r="B35" s="72"/>
      <c r="C35" s="68">
        <f>SUM(C29:C34)</f>
        <v>641350</v>
      </c>
      <c r="D35" s="78"/>
      <c r="E35" s="78"/>
      <c r="F35" s="48"/>
      <c r="H35" s="48"/>
      <c r="I35" s="48"/>
    </row>
    <row r="36" spans="1:15" ht="19.5" x14ac:dyDescent="0.3">
      <c r="A36" s="48"/>
      <c r="B36" s="48"/>
      <c r="C36" s="48"/>
      <c r="D36" s="74">
        <v>4</v>
      </c>
      <c r="E36" s="74"/>
      <c r="F36" s="74"/>
      <c r="H36" s="48"/>
      <c r="I36" s="48"/>
    </row>
    <row r="37" spans="1:15" x14ac:dyDescent="0.2">
      <c r="A37" s="48"/>
      <c r="B37" s="48"/>
      <c r="C37" s="48"/>
      <c r="D37" s="48"/>
      <c r="E37" s="53" t="s">
        <v>98</v>
      </c>
      <c r="F37" s="53" t="s">
        <v>90</v>
      </c>
      <c r="H37" s="48"/>
      <c r="I37" s="48"/>
    </row>
    <row r="38" spans="1:15" x14ac:dyDescent="0.2">
      <c r="A38" s="69" t="s">
        <v>15</v>
      </c>
      <c r="B38" s="70">
        <f>C35-C50</f>
        <v>0</v>
      </c>
      <c r="C38" s="48"/>
      <c r="D38" s="1" t="s">
        <v>17</v>
      </c>
      <c r="E38" s="6">
        <f>C35-B39-O34</f>
        <v>-323750</v>
      </c>
      <c r="F38" s="6">
        <f>E38-F10</f>
        <v>0</v>
      </c>
      <c r="H38" s="48"/>
      <c r="I38" s="48"/>
    </row>
    <row r="39" spans="1:15" x14ac:dyDescent="0.2">
      <c r="A39" s="69" t="s">
        <v>16</v>
      </c>
      <c r="B39" s="70">
        <f>C50</f>
        <v>641350</v>
      </c>
      <c r="C39" s="48"/>
      <c r="D39" s="1" t="s">
        <v>18</v>
      </c>
      <c r="E39" s="6">
        <f>ROUNDDOWN(((B39)*(B6/B4)),0)-N34</f>
        <v>201996</v>
      </c>
      <c r="F39" s="6">
        <f>E39-D10</f>
        <v>0</v>
      </c>
      <c r="H39" s="48"/>
      <c r="I39" s="48"/>
    </row>
    <row r="40" spans="1:15" x14ac:dyDescent="0.2">
      <c r="A40" s="69" t="s">
        <v>112</v>
      </c>
      <c r="B40" s="70">
        <f>B39*B4/B6</f>
        <v>1539240</v>
      </c>
      <c r="C40" s="48"/>
      <c r="D40" s="17" t="s">
        <v>23</v>
      </c>
      <c r="E40" s="6">
        <f>E38+E39</f>
        <v>-121754</v>
      </c>
      <c r="F40" s="2"/>
      <c r="H40" s="12"/>
      <c r="I40" s="48"/>
    </row>
    <row r="41" spans="1:15" x14ac:dyDescent="0.2">
      <c r="A41" s="48"/>
      <c r="B41" s="48"/>
      <c r="C41" s="48"/>
      <c r="D41" s="48"/>
      <c r="E41" s="48"/>
      <c r="F41" s="13"/>
      <c r="G41" s="13"/>
      <c r="H41" s="12"/>
      <c r="I41" s="48"/>
    </row>
    <row r="42" spans="1:15" x14ac:dyDescent="0.2">
      <c r="A42" s="48" t="s">
        <v>21</v>
      </c>
      <c r="B42" s="48"/>
      <c r="C42" s="48"/>
      <c r="D42" s="38" t="s">
        <v>105</v>
      </c>
      <c r="E42" s="48"/>
      <c r="F42" s="13"/>
      <c r="G42" s="13"/>
      <c r="H42" s="48"/>
      <c r="I42" s="48"/>
    </row>
    <row r="43" spans="1:15" x14ac:dyDescent="0.2">
      <c r="A43" s="1" t="s">
        <v>12</v>
      </c>
      <c r="B43" s="1" t="s">
        <v>13</v>
      </c>
      <c r="C43" s="1" t="s">
        <v>8</v>
      </c>
      <c r="D43" s="48" t="s">
        <v>100</v>
      </c>
      <c r="E43" s="20"/>
      <c r="F43" s="13"/>
      <c r="G43" s="13"/>
      <c r="H43" s="48"/>
      <c r="I43" s="48"/>
    </row>
    <row r="44" spans="1:15" x14ac:dyDescent="0.2">
      <c r="A44" s="10">
        <f>IF(F30&gt;60000000,60000000,F30)</f>
        <v>12827000</v>
      </c>
      <c r="B44" s="7">
        <v>0.05</v>
      </c>
      <c r="C44" s="6">
        <f>A44*B44</f>
        <v>641350</v>
      </c>
      <c r="D44" s="48" t="s">
        <v>101</v>
      </c>
      <c r="E44" s="48"/>
      <c r="F44" s="14"/>
      <c r="G44" s="14"/>
      <c r="H44" s="48"/>
      <c r="I44" s="48"/>
    </row>
    <row r="45" spans="1:15" x14ac:dyDescent="0.2">
      <c r="A45" s="10">
        <f>IF(F30-A44&gt;190000000,190000000,F30-A44)</f>
        <v>0</v>
      </c>
      <c r="B45" s="7">
        <v>0.15</v>
      </c>
      <c r="C45" s="6">
        <f t="shared" ref="C45:C48" si="1">A45*B45</f>
        <v>0</v>
      </c>
      <c r="D45" s="13" t="s">
        <v>102</v>
      </c>
      <c r="E45" s="48"/>
      <c r="F45" s="13"/>
      <c r="G45" s="13"/>
      <c r="H45" s="48"/>
      <c r="I45" s="48"/>
    </row>
    <row r="46" spans="1:15" x14ac:dyDescent="0.2">
      <c r="A46" s="10">
        <f>IF(F30-(A45+A44)&gt;250000000,250000000,F30-(A45+A44))</f>
        <v>0</v>
      </c>
      <c r="B46" s="7">
        <v>0.25</v>
      </c>
      <c r="C46" s="6">
        <f t="shared" si="1"/>
        <v>0</v>
      </c>
      <c r="D46" s="13" t="s">
        <v>103</v>
      </c>
      <c r="E46" s="11"/>
      <c r="F46" s="14"/>
      <c r="G46" s="14"/>
      <c r="H46" s="48"/>
      <c r="I46" s="48"/>
    </row>
    <row r="47" spans="1:15" x14ac:dyDescent="0.2">
      <c r="A47" s="10">
        <f>IF(F30-(A44+A45+A46)&gt;4500000000,4500000000,F30-(A44+A45+A46))</f>
        <v>0</v>
      </c>
      <c r="B47" s="7">
        <v>0.3</v>
      </c>
      <c r="C47" s="6">
        <f t="shared" si="1"/>
        <v>0</v>
      </c>
      <c r="D47" s="13"/>
      <c r="E47" s="48"/>
      <c r="F47" s="14"/>
      <c r="G47" s="14"/>
      <c r="H47" s="48"/>
      <c r="I47" s="48"/>
      <c r="J47" s="12"/>
    </row>
    <row r="48" spans="1:15" s="65" customFormat="1" x14ac:dyDescent="0.2">
      <c r="A48" s="10">
        <f>IF(F30-(A44+A45+A46+A47)&gt;1,F30-(A44+A45+A46+A47),0)</f>
        <v>0</v>
      </c>
      <c r="B48" s="7">
        <v>0.35</v>
      </c>
      <c r="C48" s="6">
        <f t="shared" si="1"/>
        <v>0</v>
      </c>
      <c r="D48" s="13"/>
      <c r="F48" s="14"/>
      <c r="G48" s="14"/>
      <c r="J48" s="12"/>
    </row>
    <row r="49" spans="1:9" x14ac:dyDescent="0.2">
      <c r="A49" s="10"/>
      <c r="B49" s="7"/>
      <c r="C49" s="6">
        <f>A49*0.35</f>
        <v>0</v>
      </c>
      <c r="D49" s="48"/>
      <c r="E49" s="48"/>
      <c r="F49" s="14"/>
      <c r="G49" s="14"/>
      <c r="H49" s="48"/>
      <c r="I49" s="48"/>
    </row>
    <row r="50" spans="1:9" x14ac:dyDescent="0.2">
      <c r="A50" s="71" t="s">
        <v>22</v>
      </c>
      <c r="B50" s="72"/>
      <c r="C50" s="8">
        <f>SUM(C44:C49)</f>
        <v>641350</v>
      </c>
      <c r="D50" s="38" t="s">
        <v>99</v>
      </c>
      <c r="E50" s="48"/>
      <c r="F50" s="14"/>
      <c r="G50" s="14"/>
      <c r="H50" s="48"/>
      <c r="I50" s="48"/>
    </row>
    <row r="51" spans="1:9" x14ac:dyDescent="0.2">
      <c r="A51" s="48"/>
      <c r="B51" s="48"/>
      <c r="C51" s="48"/>
      <c r="D51" s="48" t="s">
        <v>100</v>
      </c>
      <c r="E51" s="48"/>
      <c r="F51" s="14"/>
      <c r="G51" s="14"/>
      <c r="H51" s="48"/>
      <c r="I51" s="48"/>
    </row>
    <row r="52" spans="1:9" x14ac:dyDescent="0.2">
      <c r="A52" s="48"/>
      <c r="B52" s="48"/>
      <c r="C52" s="48"/>
      <c r="D52" s="48" t="s">
        <v>101</v>
      </c>
      <c r="E52" s="48"/>
      <c r="F52" s="14"/>
      <c r="G52" s="14"/>
      <c r="H52" s="48"/>
      <c r="I52" s="48"/>
    </row>
    <row r="53" spans="1:9" x14ac:dyDescent="0.2">
      <c r="A53" s="48"/>
      <c r="B53" s="48"/>
      <c r="C53" s="48"/>
      <c r="D53" s="13" t="s">
        <v>102</v>
      </c>
      <c r="E53" s="48"/>
      <c r="F53" s="48"/>
      <c r="H53" s="48"/>
      <c r="I53" s="48"/>
    </row>
    <row r="54" spans="1:9" x14ac:dyDescent="0.2">
      <c r="A54" s="48"/>
      <c r="B54" s="48"/>
      <c r="C54" s="48"/>
      <c r="D54" s="13" t="s">
        <v>103</v>
      </c>
      <c r="E54" s="48"/>
      <c r="F54" s="48"/>
      <c r="H54" s="48"/>
      <c r="I54" s="48"/>
    </row>
    <row r="55" spans="1:9" x14ac:dyDescent="0.2">
      <c r="A55" s="48"/>
      <c r="B55" s="48"/>
      <c r="C55" s="48"/>
      <c r="D55" s="13" t="s">
        <v>104</v>
      </c>
      <c r="E55" s="48"/>
      <c r="F55" s="48"/>
      <c r="H55" s="48"/>
      <c r="I55" s="48"/>
    </row>
  </sheetData>
  <mergeCells count="7">
    <mergeCell ref="D36:F36"/>
    <mergeCell ref="A50:B50"/>
    <mergeCell ref="B2:D2"/>
    <mergeCell ref="A8:F8"/>
    <mergeCell ref="H8:I8"/>
    <mergeCell ref="A35:B35"/>
    <mergeCell ref="D35:E35"/>
  </mergeCells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5"/>
  <sheetViews>
    <sheetView topLeftCell="A7" zoomScale="85" zoomScaleNormal="85" zoomScalePageLayoutView="85" workbookViewId="0">
      <selection activeCell="I22" sqref="I22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2.85546875" style="48" customWidth="1"/>
    <col min="8" max="8" width="15.42578125" style="34" customWidth="1"/>
    <col min="9" max="9" width="14.42578125" style="34" customWidth="1"/>
    <col min="10" max="10" width="8.85546875" style="34"/>
    <col min="11" max="11" width="12" style="34" customWidth="1"/>
    <col min="12" max="12" width="12.7109375" style="34" bestFit="1" customWidth="1"/>
    <col min="13" max="13" width="10.7109375" style="34" customWidth="1"/>
    <col min="14" max="14" width="11.28515625" style="34" bestFit="1" customWidth="1"/>
    <col min="15" max="15" width="10.7109375" style="34" customWidth="1"/>
    <col min="16" max="16384" width="8.85546875" style="34"/>
  </cols>
  <sheetData>
    <row r="1" spans="1:10" x14ac:dyDescent="0.2">
      <c r="A1" s="2" t="s">
        <v>24</v>
      </c>
      <c r="B1" s="16" t="s">
        <v>59</v>
      </c>
      <c r="H1" s="38" t="s">
        <v>91</v>
      </c>
    </row>
    <row r="2" spans="1:10" x14ac:dyDescent="0.2">
      <c r="A2" s="2" t="s">
        <v>10</v>
      </c>
      <c r="B2" s="75" t="s">
        <v>89</v>
      </c>
      <c r="C2" s="76"/>
      <c r="D2" s="76"/>
      <c r="H2" s="48" t="s">
        <v>92</v>
      </c>
    </row>
    <row r="3" spans="1:10" x14ac:dyDescent="0.2">
      <c r="A3" s="2" t="s">
        <v>56</v>
      </c>
      <c r="B3" s="24">
        <v>1</v>
      </c>
      <c r="H3" s="48" t="s">
        <v>93</v>
      </c>
    </row>
    <row r="4" spans="1:10" x14ac:dyDescent="0.2">
      <c r="A4" s="2" t="s">
        <v>57</v>
      </c>
      <c r="B4" s="2">
        <v>12</v>
      </c>
      <c r="H4" s="48" t="s">
        <v>97</v>
      </c>
    </row>
    <row r="5" spans="1:10" x14ac:dyDescent="0.2">
      <c r="A5" s="2" t="s">
        <v>6</v>
      </c>
      <c r="B5" s="2">
        <v>6</v>
      </c>
      <c r="C5" s="33">
        <v>2017</v>
      </c>
      <c r="H5" s="48" t="s">
        <v>106</v>
      </c>
    </row>
    <row r="6" spans="1:10" x14ac:dyDescent="0.2">
      <c r="A6" s="32" t="s">
        <v>58</v>
      </c>
      <c r="B6" s="2">
        <f>B5+1-B3</f>
        <v>6</v>
      </c>
      <c r="C6" s="3"/>
    </row>
    <row r="8" spans="1:10" ht="19.5" x14ac:dyDescent="0.3">
      <c r="A8" s="73">
        <v>1</v>
      </c>
      <c r="B8" s="73"/>
      <c r="C8" s="73"/>
      <c r="D8" s="73"/>
      <c r="E8" s="73"/>
      <c r="F8" s="73"/>
      <c r="G8" s="52"/>
      <c r="H8" s="73">
        <v>2</v>
      </c>
      <c r="I8" s="73"/>
    </row>
    <row r="9" spans="1:10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</row>
    <row r="10" spans="1:10" x14ac:dyDescent="0.2">
      <c r="A10" s="54"/>
      <c r="B10" s="21"/>
      <c r="C10" s="54"/>
      <c r="D10" s="21"/>
      <c r="E10" s="54"/>
      <c r="F10" s="21"/>
      <c r="H10" s="2" t="s">
        <v>30</v>
      </c>
      <c r="I10" s="49"/>
    </row>
    <row r="11" spans="1:10" x14ac:dyDescent="0.2">
      <c r="A11" s="54"/>
      <c r="B11" s="21"/>
      <c r="C11" s="54"/>
      <c r="D11" s="21"/>
      <c r="E11" s="54"/>
      <c r="F11" s="21"/>
      <c r="H11" s="2" t="s">
        <v>95</v>
      </c>
      <c r="I11" s="54"/>
    </row>
    <row r="12" spans="1:10" x14ac:dyDescent="0.2">
      <c r="A12" s="54"/>
      <c r="B12" s="21"/>
      <c r="C12" s="54"/>
      <c r="D12" s="21"/>
      <c r="E12" s="21"/>
      <c r="F12" s="21"/>
      <c r="H12" s="2" t="s">
        <v>94</v>
      </c>
      <c r="I12" s="32"/>
    </row>
    <row r="13" spans="1:10" x14ac:dyDescent="0.2">
      <c r="A13" s="54"/>
      <c r="B13" s="21"/>
      <c r="C13" s="54"/>
      <c r="D13" s="21"/>
      <c r="E13" s="21"/>
      <c r="F13" s="21"/>
      <c r="H13" s="2"/>
      <c r="I13" s="32"/>
      <c r="J13" s="5"/>
    </row>
    <row r="14" spans="1:10" x14ac:dyDescent="0.2">
      <c r="A14" s="54"/>
      <c r="B14" s="21"/>
      <c r="C14" s="54"/>
      <c r="D14" s="21"/>
      <c r="E14" s="21"/>
      <c r="F14" s="21"/>
      <c r="H14" s="4" t="s">
        <v>9</v>
      </c>
      <c r="I14" s="8">
        <f>SUM(I10:I12)</f>
        <v>0</v>
      </c>
    </row>
    <row r="15" spans="1:10" x14ac:dyDescent="0.2">
      <c r="A15" s="21"/>
      <c r="B15" s="21"/>
      <c r="C15" s="21"/>
      <c r="D15" s="21"/>
      <c r="E15" s="21"/>
      <c r="F15" s="21"/>
      <c r="H15" s="3"/>
      <c r="I15" s="3"/>
    </row>
    <row r="16" spans="1:10" x14ac:dyDescent="0.2">
      <c r="A16" s="21"/>
      <c r="B16" s="21"/>
      <c r="C16" s="21"/>
      <c r="D16" s="21"/>
      <c r="E16" s="21"/>
      <c r="F16" s="21"/>
      <c r="H16" s="1" t="s">
        <v>11</v>
      </c>
      <c r="I16" s="23">
        <f>IF(A21*5%&gt;500000,500000,A21*5%)</f>
        <v>0</v>
      </c>
    </row>
    <row r="17" spans="1:15" x14ac:dyDescent="0.2">
      <c r="A17" s="8">
        <f t="shared" ref="A17:F17" si="0">SUM(A10:A16)</f>
        <v>0</v>
      </c>
      <c r="B17" s="8">
        <f t="shared" si="0"/>
        <v>0</v>
      </c>
      <c r="C17" s="8">
        <f t="shared" si="0"/>
        <v>0</v>
      </c>
      <c r="D17" s="8">
        <f t="shared" si="0"/>
        <v>0</v>
      </c>
      <c r="E17" s="8">
        <f>SUM(E10:E16)</f>
        <v>0</v>
      </c>
      <c r="F17" s="8">
        <f t="shared" si="0"/>
        <v>0</v>
      </c>
      <c r="H17" s="1" t="s">
        <v>19</v>
      </c>
      <c r="I17" s="32"/>
    </row>
    <row r="18" spans="1:15" x14ac:dyDescent="0.2">
      <c r="A18" s="3"/>
      <c r="B18" s="3"/>
      <c r="C18" s="3"/>
      <c r="D18" s="3"/>
      <c r="E18" s="3"/>
      <c r="F18" s="3"/>
      <c r="H18" s="48"/>
      <c r="I18" s="48"/>
    </row>
    <row r="19" spans="1:15" x14ac:dyDescent="0.2">
      <c r="A19" s="3"/>
      <c r="B19" s="3"/>
      <c r="C19" s="3"/>
      <c r="D19" s="3"/>
      <c r="E19" s="3"/>
      <c r="F19" s="3"/>
      <c r="H19" s="48"/>
      <c r="I19" s="48"/>
      <c r="K19" s="29" t="s">
        <v>38</v>
      </c>
      <c r="L19" s="29"/>
      <c r="M19" s="29"/>
      <c r="N19" s="29"/>
      <c r="O19" s="29"/>
    </row>
    <row r="20" spans="1:15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48"/>
      <c r="H20" s="48"/>
      <c r="I20" s="48"/>
      <c r="K20" s="25"/>
      <c r="L20" s="28" t="s">
        <v>37</v>
      </c>
      <c r="M20" s="28" t="s">
        <v>39</v>
      </c>
      <c r="N20" s="28" t="s">
        <v>43</v>
      </c>
      <c r="O20" s="28" t="s">
        <v>44</v>
      </c>
    </row>
    <row r="21" spans="1:15" x14ac:dyDescent="0.2">
      <c r="A21" s="6">
        <f>A17+C17+D17</f>
        <v>0</v>
      </c>
      <c r="B21" s="6">
        <f>B17+E17+F17</f>
        <v>0</v>
      </c>
      <c r="C21" s="6">
        <f>A21+B21</f>
        <v>0</v>
      </c>
      <c r="D21" s="6">
        <f>A21-I14-I16</f>
        <v>0</v>
      </c>
      <c r="E21" s="6">
        <f>B21-I17</f>
        <v>0</v>
      </c>
      <c r="F21" s="48"/>
      <c r="H21" s="48"/>
      <c r="I21" s="48"/>
      <c r="K21" s="27" t="s">
        <v>45</v>
      </c>
      <c r="L21" s="6">
        <f>'Tax Prove Jan'!D21</f>
        <v>6326231</v>
      </c>
      <c r="M21" s="6">
        <f>'Tax Prove Jan'!E21</f>
        <v>0</v>
      </c>
      <c r="N21" s="6">
        <f>'Tax Prove Jan'!E39</f>
        <v>16308</v>
      </c>
      <c r="O21" s="6">
        <f>'Tax Prove Jan'!E38</f>
        <v>0</v>
      </c>
    </row>
    <row r="22" spans="1:15" x14ac:dyDescent="0.2">
      <c r="A22" s="50"/>
      <c r="B22" s="50"/>
      <c r="C22" s="50"/>
      <c r="D22" s="50"/>
      <c r="E22" s="50"/>
      <c r="F22" s="48"/>
      <c r="H22" s="48"/>
      <c r="I22" s="48"/>
      <c r="K22" s="27" t="s">
        <v>46</v>
      </c>
      <c r="L22" s="6">
        <f>'Tax Prove Feb'!D21</f>
        <v>6326231</v>
      </c>
      <c r="M22" s="6">
        <f>'Tax Prove Feb'!E21</f>
        <v>598452</v>
      </c>
      <c r="N22" s="6">
        <f>'Tax Prove Feb'!E39</f>
        <v>16308</v>
      </c>
      <c r="O22" s="6">
        <f>'Tax Prove Feb'!E38</f>
        <v>29950</v>
      </c>
    </row>
    <row r="23" spans="1:15" ht="19.5" x14ac:dyDescent="0.3">
      <c r="A23" s="48"/>
      <c r="B23" s="48"/>
      <c r="C23" s="48"/>
      <c r="D23" s="55">
        <v>3</v>
      </c>
      <c r="E23" s="48"/>
      <c r="F23" s="48"/>
      <c r="H23" s="48"/>
      <c r="I23" s="48"/>
      <c r="K23" s="27" t="s">
        <v>40</v>
      </c>
      <c r="L23" s="6">
        <f>'Tax Prove Mar'!D22</f>
        <v>6326232</v>
      </c>
      <c r="M23" s="6">
        <f>'Tax Prove Mar'!E22</f>
        <v>249327</v>
      </c>
      <c r="N23" s="6">
        <f>'Tax Prove Mar'!E40</f>
        <v>16309</v>
      </c>
      <c r="O23" s="6">
        <f>'Tax Prove Mar'!E39</f>
        <v>12450</v>
      </c>
    </row>
    <row r="24" spans="1:15" x14ac:dyDescent="0.2">
      <c r="A24" s="1" t="s">
        <v>36</v>
      </c>
      <c r="B24" s="1" t="s">
        <v>35</v>
      </c>
      <c r="C24" s="1" t="s">
        <v>34</v>
      </c>
      <c r="D24" s="1" t="s">
        <v>96</v>
      </c>
      <c r="E24" s="1" t="s">
        <v>32</v>
      </c>
      <c r="F24" s="1" t="s">
        <v>61</v>
      </c>
      <c r="H24" s="48"/>
      <c r="I24" s="48"/>
      <c r="K24" s="27" t="s">
        <v>41</v>
      </c>
      <c r="L24" s="6">
        <f>'Tax Prove Apr'!D22</f>
        <v>6326231</v>
      </c>
      <c r="M24" s="6">
        <f>'Tax Prove Apr'!E22</f>
        <v>5627429</v>
      </c>
      <c r="N24" s="6">
        <f>'Tax Prove Apr'!E40</f>
        <v>16308</v>
      </c>
      <c r="O24" s="6">
        <f>'Tax Prove Apr'!E39</f>
        <v>281350</v>
      </c>
    </row>
    <row r="25" spans="1:15" x14ac:dyDescent="0.2">
      <c r="A25" s="6">
        <f>(D21+L34)*B4/B6</f>
        <v>51412780</v>
      </c>
      <c r="B25" s="6">
        <f>E21+M34</f>
        <v>9638204</v>
      </c>
      <c r="C25" s="6">
        <f>A25+B25</f>
        <v>61050984</v>
      </c>
      <c r="D25" s="42">
        <f>'Tax Prove Jan'!D25</f>
        <v>72000000</v>
      </c>
      <c r="E25" s="6">
        <f>C25-D25</f>
        <v>-10949016</v>
      </c>
      <c r="F25" s="6">
        <f>E25-B25</f>
        <v>-20587220</v>
      </c>
      <c r="H25" s="48"/>
      <c r="I25" s="48"/>
      <c r="K25" s="27" t="s">
        <v>42</v>
      </c>
      <c r="L25" s="6">
        <f>'Tax Prove Mei'!D21</f>
        <v>401465</v>
      </c>
      <c r="M25" s="6">
        <f>'Tax Prove Mei'!E21</f>
        <v>3162996</v>
      </c>
      <c r="N25" s="6">
        <f>'Tax Prove Mei'!E39</f>
        <v>201996</v>
      </c>
      <c r="O25" s="6">
        <f>'Tax Prove Mei'!E38</f>
        <v>-323750</v>
      </c>
    </row>
    <row r="26" spans="1:15" x14ac:dyDescent="0.2">
      <c r="A26" s="3"/>
      <c r="B26" s="3"/>
      <c r="C26" s="3"/>
      <c r="D26" s="3"/>
      <c r="E26" s="3"/>
      <c r="F26" s="48"/>
      <c r="H26" s="48"/>
      <c r="I26" s="48"/>
      <c r="K26" s="27" t="s">
        <v>47</v>
      </c>
      <c r="L26" s="2"/>
      <c r="M26" s="2"/>
      <c r="N26" s="2"/>
      <c r="O26" s="2"/>
    </row>
    <row r="27" spans="1:15" x14ac:dyDescent="0.2">
      <c r="A27" s="48" t="s">
        <v>20</v>
      </c>
      <c r="B27" s="48"/>
      <c r="C27" s="48"/>
      <c r="D27" s="48"/>
      <c r="E27" s="1" t="s">
        <v>55</v>
      </c>
      <c r="F27" s="1" t="s">
        <v>62</v>
      </c>
      <c r="H27" s="48"/>
      <c r="I27" s="48"/>
      <c r="K27" s="27" t="s">
        <v>48</v>
      </c>
      <c r="L27" s="2"/>
      <c r="M27" s="2"/>
      <c r="N27" s="2"/>
      <c r="O27" s="2"/>
    </row>
    <row r="28" spans="1:15" x14ac:dyDescent="0.2">
      <c r="A28" s="1" t="s">
        <v>12</v>
      </c>
      <c r="B28" s="1" t="s">
        <v>13</v>
      </c>
      <c r="C28" s="1" t="s">
        <v>8</v>
      </c>
      <c r="D28" s="13"/>
      <c r="E28" s="6">
        <f>E25/1000</f>
        <v>-10949.016</v>
      </c>
      <c r="F28" s="6">
        <f>F25/1000</f>
        <v>-20587.22</v>
      </c>
      <c r="H28" s="48"/>
      <c r="I28" s="48"/>
      <c r="K28" s="27" t="s">
        <v>49</v>
      </c>
      <c r="L28" s="2"/>
      <c r="M28" s="2"/>
      <c r="N28" s="2"/>
      <c r="O28" s="2"/>
    </row>
    <row r="29" spans="1:15" x14ac:dyDescent="0.2">
      <c r="A29" s="10">
        <f>IF(E30&gt;60000000,60000000,E30)</f>
        <v>-10949000</v>
      </c>
      <c r="B29" s="7">
        <v>0.05</v>
      </c>
      <c r="C29" s="6">
        <f>A29*B29</f>
        <v>-547450</v>
      </c>
      <c r="D29" s="14"/>
      <c r="E29" s="32">
        <f>ROUND(E28,0)</f>
        <v>-10949</v>
      </c>
      <c r="F29" s="32">
        <f>ROUND(F28,0)</f>
        <v>-20587</v>
      </c>
      <c r="H29" s="48"/>
      <c r="I29" s="48"/>
      <c r="K29" s="27" t="s">
        <v>50</v>
      </c>
      <c r="L29" s="2"/>
      <c r="M29" s="2"/>
      <c r="N29" s="2"/>
      <c r="O29" s="2"/>
    </row>
    <row r="30" spans="1:15" x14ac:dyDescent="0.2">
      <c r="A30" s="10">
        <f>IF(E30-A29&gt;190000000,190000000,E30-A29)</f>
        <v>0</v>
      </c>
      <c r="B30" s="7">
        <v>0.15</v>
      </c>
      <c r="C30" s="6">
        <f>A30*B30</f>
        <v>0</v>
      </c>
      <c r="D30" s="14"/>
      <c r="E30" s="31">
        <f>ROUNDDOWN(E25,-3)</f>
        <v>-10949000</v>
      </c>
      <c r="F30" s="31">
        <f>ROUNDDOWN(F25,-3)</f>
        <v>-20587000</v>
      </c>
      <c r="H30" s="48"/>
      <c r="I30" s="48"/>
      <c r="K30" s="27" t="s">
        <v>51</v>
      </c>
      <c r="L30" s="2"/>
      <c r="M30" s="2"/>
      <c r="N30" s="2"/>
      <c r="O30" s="2"/>
    </row>
    <row r="31" spans="1:15" x14ac:dyDescent="0.2">
      <c r="A31" s="10">
        <f>IF(E30-(A29+A30)&gt;250000000,250000000,E30-(A29+A30))</f>
        <v>0</v>
      </c>
      <c r="B31" s="7">
        <v>0.25</v>
      </c>
      <c r="C31" s="6">
        <f>A31*B31</f>
        <v>0</v>
      </c>
      <c r="D31" s="14"/>
      <c r="E31" s="30"/>
      <c r="F31" s="3"/>
      <c r="H31" s="48"/>
      <c r="I31" s="48"/>
      <c r="K31" s="27" t="s">
        <v>52</v>
      </c>
      <c r="L31" s="2"/>
      <c r="M31" s="2"/>
      <c r="N31" s="2"/>
      <c r="O31" s="2"/>
    </row>
    <row r="32" spans="1:15" x14ac:dyDescent="0.2">
      <c r="A32" s="10">
        <f>IF(E30-(A29+A30+A31)&gt;4500000000,4500000000,E30-(A29+A30+A31))</f>
        <v>0</v>
      </c>
      <c r="B32" s="7">
        <v>0.3</v>
      </c>
      <c r="C32" s="6">
        <f>A32*B32</f>
        <v>0</v>
      </c>
      <c r="D32" s="14"/>
      <c r="E32" s="30"/>
      <c r="F32" s="3"/>
      <c r="H32" s="48"/>
      <c r="I32" s="48"/>
      <c r="K32" s="27" t="s">
        <v>53</v>
      </c>
      <c r="L32" s="2"/>
      <c r="M32" s="2"/>
      <c r="N32" s="2"/>
      <c r="O32" s="2"/>
    </row>
    <row r="33" spans="1:15" s="65" customFormat="1" x14ac:dyDescent="0.2">
      <c r="A33" s="10">
        <f>IF(E30-(A29+A30+A31+A32)&gt;1,E30-(A29+A30+A31+A32),0)</f>
        <v>0</v>
      </c>
      <c r="B33" s="7">
        <v>0.35</v>
      </c>
      <c r="C33" s="6">
        <f>A33*B33</f>
        <v>0</v>
      </c>
      <c r="D33" s="14"/>
      <c r="E33" s="30"/>
      <c r="F33" s="3"/>
      <c r="K33" s="27"/>
      <c r="L33" s="2"/>
      <c r="M33" s="2"/>
      <c r="N33" s="2"/>
      <c r="O33" s="2"/>
    </row>
    <row r="34" spans="1:15" x14ac:dyDescent="0.2">
      <c r="A34" s="10"/>
      <c r="B34" s="7"/>
      <c r="C34" s="6">
        <f>A34*0.35</f>
        <v>0</v>
      </c>
      <c r="D34" s="14"/>
      <c r="E34" s="15"/>
      <c r="F34" s="3"/>
      <c r="H34" s="48"/>
      <c r="I34" s="48"/>
      <c r="K34" s="26" t="s">
        <v>54</v>
      </c>
      <c r="L34" s="31">
        <f>SUM(L21:L32)</f>
        <v>25706390</v>
      </c>
      <c r="M34" s="31">
        <f>SUM(M21:M32)</f>
        <v>9638204</v>
      </c>
      <c r="N34" s="31">
        <f>SUM(N21:N32)</f>
        <v>267229</v>
      </c>
      <c r="O34" s="31">
        <f>SUM(O21:O32)</f>
        <v>0</v>
      </c>
    </row>
    <row r="35" spans="1:15" x14ac:dyDescent="0.2">
      <c r="A35" s="71" t="s">
        <v>14</v>
      </c>
      <c r="B35" s="72"/>
      <c r="C35" s="8">
        <f>SUM(C29:C34)</f>
        <v>-547450</v>
      </c>
      <c r="D35" s="78"/>
      <c r="E35" s="78"/>
      <c r="F35" s="48"/>
      <c r="H35" s="48"/>
      <c r="I35" s="48"/>
    </row>
    <row r="36" spans="1:15" ht="19.5" x14ac:dyDescent="0.3">
      <c r="A36" s="48"/>
      <c r="B36" s="48"/>
      <c r="C36" s="48"/>
      <c r="D36" s="74">
        <v>4</v>
      </c>
      <c r="E36" s="74"/>
      <c r="F36" s="74"/>
      <c r="H36" s="48"/>
      <c r="I36" s="48"/>
    </row>
    <row r="37" spans="1:15" x14ac:dyDescent="0.2">
      <c r="A37" s="48"/>
      <c r="B37" s="48"/>
      <c r="C37" s="48"/>
      <c r="D37" s="48"/>
      <c r="E37" s="53" t="s">
        <v>98</v>
      </c>
      <c r="F37" s="53" t="s">
        <v>90</v>
      </c>
      <c r="H37" s="48"/>
      <c r="I37" s="48"/>
    </row>
    <row r="38" spans="1:15" x14ac:dyDescent="0.2">
      <c r="A38" s="1" t="s">
        <v>15</v>
      </c>
      <c r="B38" s="6">
        <f>C35-C50</f>
        <v>481900</v>
      </c>
      <c r="C38" s="48"/>
      <c r="D38" s="1" t="s">
        <v>17</v>
      </c>
      <c r="E38" s="6">
        <f>C35-B39-O34</f>
        <v>481900</v>
      </c>
      <c r="F38" s="6">
        <f>E38-F10</f>
        <v>481900</v>
      </c>
      <c r="H38" s="48"/>
      <c r="I38" s="48"/>
    </row>
    <row r="39" spans="1:15" x14ac:dyDescent="0.2">
      <c r="A39" s="1" t="s">
        <v>16</v>
      </c>
      <c r="B39" s="6">
        <f>C50</f>
        <v>-1029350</v>
      </c>
      <c r="C39" s="48"/>
      <c r="D39" s="1" t="s">
        <v>18</v>
      </c>
      <c r="E39" s="6">
        <f>ROUNDDOWN(((B39)*(B6/B4)),0)-N34</f>
        <v>-781904</v>
      </c>
      <c r="F39" s="6">
        <f>E39-D10</f>
        <v>-781904</v>
      </c>
      <c r="H39" s="48"/>
      <c r="I39" s="57"/>
    </row>
    <row r="40" spans="1:15" x14ac:dyDescent="0.2">
      <c r="A40" s="48"/>
      <c r="B40" s="48"/>
      <c r="C40" s="48"/>
      <c r="D40" s="17" t="s">
        <v>23</v>
      </c>
      <c r="E40" s="6">
        <f>E38+E39</f>
        <v>-300004</v>
      </c>
      <c r="F40" s="2"/>
      <c r="H40" s="12"/>
      <c r="I40" s="48"/>
    </row>
    <row r="41" spans="1:15" x14ac:dyDescent="0.2">
      <c r="A41" s="48"/>
      <c r="B41" s="48"/>
      <c r="C41" s="48"/>
      <c r="D41" s="48"/>
      <c r="E41" s="48"/>
      <c r="F41" s="13"/>
      <c r="G41" s="13"/>
      <c r="H41" s="12"/>
      <c r="I41" s="48"/>
    </row>
    <row r="42" spans="1:15" x14ac:dyDescent="0.2">
      <c r="A42" s="48" t="s">
        <v>21</v>
      </c>
      <c r="B42" s="48"/>
      <c r="C42" s="48"/>
      <c r="D42" s="38" t="s">
        <v>105</v>
      </c>
      <c r="E42" s="48"/>
      <c r="F42" s="13"/>
      <c r="G42" s="13"/>
      <c r="H42" s="48"/>
      <c r="I42" s="48"/>
    </row>
    <row r="43" spans="1:15" x14ac:dyDescent="0.2">
      <c r="A43" s="1" t="s">
        <v>12</v>
      </c>
      <c r="B43" s="1" t="s">
        <v>13</v>
      </c>
      <c r="C43" s="1" t="s">
        <v>8</v>
      </c>
      <c r="D43" s="48" t="s">
        <v>100</v>
      </c>
      <c r="E43" s="20"/>
      <c r="F43" s="13"/>
      <c r="G43" s="13"/>
      <c r="H43" s="48"/>
      <c r="I43" s="48"/>
    </row>
    <row r="44" spans="1:15" x14ac:dyDescent="0.2">
      <c r="A44" s="10">
        <f>IF(F30&gt;60000000,60000000,F30)</f>
        <v>-20587000</v>
      </c>
      <c r="B44" s="7">
        <v>0.05</v>
      </c>
      <c r="C44" s="6">
        <f>A44*B44</f>
        <v>-1029350</v>
      </c>
      <c r="D44" s="48" t="s">
        <v>101</v>
      </c>
      <c r="E44" s="48"/>
      <c r="F44" s="14"/>
      <c r="G44" s="14"/>
      <c r="H44" s="48"/>
      <c r="I44" s="48"/>
    </row>
    <row r="45" spans="1:15" x14ac:dyDescent="0.2">
      <c r="A45" s="10">
        <f>IF(F30-A44&gt;190000000,190000000,F30-A44)</f>
        <v>0</v>
      </c>
      <c r="B45" s="7">
        <v>0.15</v>
      </c>
      <c r="C45" s="6">
        <f t="shared" ref="C45:C48" si="1">A45*B45</f>
        <v>0</v>
      </c>
      <c r="D45" s="13" t="s">
        <v>102</v>
      </c>
      <c r="E45" s="48"/>
      <c r="F45" s="13"/>
      <c r="G45" s="13"/>
      <c r="H45" s="48"/>
      <c r="I45" s="48"/>
    </row>
    <row r="46" spans="1:15" x14ac:dyDescent="0.2">
      <c r="A46" s="10">
        <f>IF(F30-(A45+A44)&gt;250000000,250000000,F30-(A45+A44))</f>
        <v>0</v>
      </c>
      <c r="B46" s="7">
        <v>0.25</v>
      </c>
      <c r="C46" s="6">
        <f t="shared" si="1"/>
        <v>0</v>
      </c>
      <c r="D46" s="13" t="s">
        <v>103</v>
      </c>
      <c r="E46" s="11"/>
      <c r="F46" s="14"/>
      <c r="G46" s="14"/>
      <c r="H46" s="48"/>
      <c r="I46" s="48"/>
    </row>
    <row r="47" spans="1:15" x14ac:dyDescent="0.2">
      <c r="A47" s="10">
        <f>IF(F30-(A44+A45+A46)&gt;4500000000,4500000000,F30-(A44+A45+A46))</f>
        <v>0</v>
      </c>
      <c r="B47" s="7">
        <v>0.3</v>
      </c>
      <c r="C47" s="6">
        <f t="shared" si="1"/>
        <v>0</v>
      </c>
      <c r="D47" s="13"/>
      <c r="E47" s="48"/>
      <c r="F47" s="14"/>
      <c r="G47" s="14"/>
      <c r="H47" s="48"/>
      <c r="I47" s="48"/>
      <c r="J47" s="12"/>
    </row>
    <row r="48" spans="1:15" s="65" customFormat="1" x14ac:dyDescent="0.2">
      <c r="A48" s="10">
        <f>IF(F30-(A44+A45+A46+A47)&gt;1,F30-(A44+A45+A46+A47),0)</f>
        <v>0</v>
      </c>
      <c r="B48" s="7">
        <v>0.35</v>
      </c>
      <c r="C48" s="6">
        <f t="shared" si="1"/>
        <v>0</v>
      </c>
      <c r="D48" s="13"/>
      <c r="F48" s="14"/>
      <c r="G48" s="14"/>
      <c r="J48" s="12"/>
    </row>
    <row r="49" spans="1:9" x14ac:dyDescent="0.2">
      <c r="A49" s="10"/>
      <c r="B49" s="7"/>
      <c r="C49" s="6">
        <f>A49*0.35</f>
        <v>0</v>
      </c>
      <c r="D49" s="48"/>
      <c r="E49" s="48"/>
      <c r="F49" s="14"/>
      <c r="G49" s="14"/>
      <c r="H49" s="48"/>
      <c r="I49" s="48"/>
    </row>
    <row r="50" spans="1:9" x14ac:dyDescent="0.2">
      <c r="A50" s="71" t="s">
        <v>22</v>
      </c>
      <c r="B50" s="72"/>
      <c r="C50" s="8">
        <f>SUM(C44:C49)</f>
        <v>-1029350</v>
      </c>
      <c r="D50" s="38" t="s">
        <v>99</v>
      </c>
      <c r="E50" s="48"/>
      <c r="F50" s="14"/>
      <c r="G50" s="14"/>
      <c r="H50" s="48"/>
      <c r="I50" s="48"/>
    </row>
    <row r="51" spans="1:9" x14ac:dyDescent="0.2">
      <c r="A51" s="48"/>
      <c r="B51" s="48"/>
      <c r="C51" s="48"/>
      <c r="D51" s="48" t="s">
        <v>100</v>
      </c>
      <c r="E51" s="48"/>
      <c r="F51" s="14"/>
      <c r="G51" s="14"/>
      <c r="H51" s="48"/>
      <c r="I51" s="48"/>
    </row>
    <row r="52" spans="1:9" x14ac:dyDescent="0.2">
      <c r="A52" s="48"/>
      <c r="B52" s="48"/>
      <c r="C52" s="48"/>
      <c r="D52" s="48" t="s">
        <v>101</v>
      </c>
      <c r="E52" s="48"/>
      <c r="F52" s="14"/>
      <c r="G52" s="14"/>
      <c r="H52" s="48"/>
      <c r="I52" s="48"/>
    </row>
    <row r="53" spans="1:9" x14ac:dyDescent="0.2">
      <c r="A53" s="48"/>
      <c r="B53" s="48"/>
      <c r="C53" s="48"/>
      <c r="D53" s="13" t="s">
        <v>102</v>
      </c>
      <c r="E53" s="48"/>
      <c r="F53" s="48"/>
      <c r="H53" s="48"/>
      <c r="I53" s="48"/>
    </row>
    <row r="54" spans="1:9" x14ac:dyDescent="0.2">
      <c r="A54" s="48"/>
      <c r="B54" s="48"/>
      <c r="C54" s="48"/>
      <c r="D54" s="13" t="s">
        <v>103</v>
      </c>
      <c r="E54" s="48"/>
      <c r="F54" s="48"/>
      <c r="H54" s="48"/>
      <c r="I54" s="48"/>
    </row>
    <row r="55" spans="1:9" x14ac:dyDescent="0.2">
      <c r="A55" s="48"/>
      <c r="B55" s="48"/>
      <c r="C55" s="48"/>
      <c r="D55" s="13" t="s">
        <v>104</v>
      </c>
      <c r="E55" s="48"/>
      <c r="F55" s="48"/>
      <c r="H55" s="48"/>
      <c r="I55" s="48"/>
    </row>
  </sheetData>
  <mergeCells count="7">
    <mergeCell ref="D36:F36"/>
    <mergeCell ref="A50:B50"/>
    <mergeCell ref="B2:D2"/>
    <mergeCell ref="A8:F8"/>
    <mergeCell ref="H8:I8"/>
    <mergeCell ref="A35:B35"/>
    <mergeCell ref="D35:E35"/>
  </mergeCells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7"/>
  <sheetViews>
    <sheetView zoomScale="85" zoomScaleNormal="85" zoomScalePageLayoutView="85" workbookViewId="0">
      <selection activeCell="I21" sqref="I21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2.85546875" style="48" customWidth="1"/>
    <col min="8" max="8" width="15.42578125" style="34" customWidth="1"/>
    <col min="9" max="9" width="14.42578125" style="34" customWidth="1"/>
    <col min="10" max="10" width="8.85546875" style="34"/>
    <col min="11" max="11" width="12" style="34" customWidth="1"/>
    <col min="12" max="12" width="12.7109375" style="34" bestFit="1" customWidth="1"/>
    <col min="13" max="13" width="10.7109375" style="34" customWidth="1"/>
    <col min="14" max="14" width="11.28515625" style="34" bestFit="1" customWidth="1"/>
    <col min="15" max="15" width="10.7109375" style="34" customWidth="1"/>
    <col min="16" max="16384" width="8.85546875" style="34"/>
  </cols>
  <sheetData>
    <row r="1" spans="1:15" x14ac:dyDescent="0.2">
      <c r="A1" s="2" t="s">
        <v>24</v>
      </c>
      <c r="B1" s="16" t="s">
        <v>59</v>
      </c>
      <c r="H1" s="38" t="s">
        <v>91</v>
      </c>
    </row>
    <row r="2" spans="1:15" x14ac:dyDescent="0.2">
      <c r="A2" s="2" t="s">
        <v>10</v>
      </c>
      <c r="B2" s="75" t="s">
        <v>89</v>
      </c>
      <c r="C2" s="76"/>
      <c r="D2" s="76"/>
      <c r="H2" s="48" t="s">
        <v>92</v>
      </c>
    </row>
    <row r="3" spans="1:15" x14ac:dyDescent="0.2">
      <c r="A3" s="2" t="s">
        <v>56</v>
      </c>
      <c r="B3" s="24">
        <v>1</v>
      </c>
      <c r="H3" s="48" t="s">
        <v>93</v>
      </c>
    </row>
    <row r="4" spans="1:15" x14ac:dyDescent="0.2">
      <c r="A4" s="2" t="s">
        <v>57</v>
      </c>
      <c r="B4" s="2">
        <v>12</v>
      </c>
      <c r="H4" s="48" t="s">
        <v>97</v>
      </c>
    </row>
    <row r="5" spans="1:15" x14ac:dyDescent="0.2">
      <c r="A5" s="2" t="s">
        <v>6</v>
      </c>
      <c r="B5" s="2">
        <v>7</v>
      </c>
      <c r="C5" s="33">
        <v>2017</v>
      </c>
      <c r="H5" s="48" t="s">
        <v>106</v>
      </c>
    </row>
    <row r="6" spans="1:15" x14ac:dyDescent="0.2">
      <c r="A6" s="32" t="s">
        <v>58</v>
      </c>
      <c r="B6" s="2">
        <f>B5+1-B3</f>
        <v>7</v>
      </c>
      <c r="C6" s="3"/>
    </row>
    <row r="8" spans="1:15" ht="19.5" x14ac:dyDescent="0.3">
      <c r="A8" s="73">
        <v>1</v>
      </c>
      <c r="B8" s="73"/>
      <c r="C8" s="73"/>
      <c r="D8" s="73"/>
      <c r="E8" s="73"/>
      <c r="F8" s="73"/>
      <c r="G8" s="52"/>
      <c r="H8" s="73">
        <v>2</v>
      </c>
      <c r="I8" s="73"/>
      <c r="J8" s="48"/>
      <c r="K8" s="48"/>
      <c r="L8" s="48"/>
      <c r="M8" s="48"/>
      <c r="N8" s="48"/>
      <c r="O8" s="48"/>
    </row>
    <row r="9" spans="1:15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  <c r="J9" s="48"/>
      <c r="K9" s="48"/>
      <c r="L9" s="48"/>
      <c r="M9" s="48"/>
      <c r="N9" s="48"/>
      <c r="O9" s="48"/>
    </row>
    <row r="10" spans="1:15" x14ac:dyDescent="0.2">
      <c r="A10" s="54"/>
      <c r="B10" s="21"/>
      <c r="C10" s="54"/>
      <c r="D10" s="21"/>
      <c r="E10" s="54"/>
      <c r="F10" s="21"/>
      <c r="H10" s="2" t="s">
        <v>30</v>
      </c>
      <c r="I10" s="49"/>
      <c r="J10" s="48"/>
      <c r="K10" s="48"/>
      <c r="L10" s="48"/>
      <c r="M10" s="48"/>
      <c r="N10" s="48"/>
      <c r="O10" s="48"/>
    </row>
    <row r="11" spans="1:15" x14ac:dyDescent="0.2">
      <c r="A11" s="54"/>
      <c r="B11" s="21"/>
      <c r="C11" s="54"/>
      <c r="D11" s="21"/>
      <c r="E11" s="54"/>
      <c r="F11" s="21"/>
      <c r="H11" s="2" t="s">
        <v>95</v>
      </c>
      <c r="I11" s="54"/>
      <c r="J11" s="48"/>
      <c r="K11" s="48"/>
      <c r="L11" s="48"/>
      <c r="M11" s="48"/>
      <c r="N11" s="48"/>
      <c r="O11" s="48"/>
    </row>
    <row r="12" spans="1:15" x14ac:dyDescent="0.2">
      <c r="A12" s="54"/>
      <c r="B12" s="21"/>
      <c r="C12" s="54"/>
      <c r="D12" s="21"/>
      <c r="E12" s="21"/>
      <c r="F12" s="21"/>
      <c r="H12" s="2" t="s">
        <v>94</v>
      </c>
      <c r="I12" s="32"/>
      <c r="J12" s="48"/>
      <c r="K12" s="48"/>
      <c r="L12" s="48"/>
      <c r="M12" s="48"/>
      <c r="N12" s="48"/>
      <c r="O12" s="48"/>
    </row>
    <row r="13" spans="1:15" x14ac:dyDescent="0.2">
      <c r="A13" s="54"/>
      <c r="B13" s="21"/>
      <c r="C13" s="54"/>
      <c r="D13" s="21"/>
      <c r="E13" s="21"/>
      <c r="F13" s="21"/>
      <c r="H13" s="2"/>
      <c r="I13" s="32"/>
      <c r="J13" s="5"/>
      <c r="K13" s="48"/>
      <c r="L13" s="48"/>
      <c r="M13" s="48"/>
      <c r="N13" s="48"/>
      <c r="O13" s="48"/>
    </row>
    <row r="14" spans="1:15" x14ac:dyDescent="0.2">
      <c r="A14" s="54"/>
      <c r="B14" s="21"/>
      <c r="C14" s="54"/>
      <c r="D14" s="21"/>
      <c r="E14" s="21"/>
      <c r="F14" s="21"/>
      <c r="H14" s="4" t="s">
        <v>9</v>
      </c>
      <c r="I14" s="8">
        <f>SUM(I10:I12)</f>
        <v>0</v>
      </c>
      <c r="J14" s="48"/>
      <c r="K14" s="48"/>
      <c r="L14" s="48"/>
      <c r="M14" s="48"/>
      <c r="N14" s="48"/>
      <c r="O14" s="48"/>
    </row>
    <row r="15" spans="1:15" x14ac:dyDescent="0.2">
      <c r="A15" s="21"/>
      <c r="B15" s="21"/>
      <c r="C15" s="21"/>
      <c r="D15" s="21"/>
      <c r="E15" s="21"/>
      <c r="F15" s="21"/>
      <c r="H15" s="3"/>
      <c r="I15" s="3"/>
      <c r="J15" s="48"/>
      <c r="K15" s="48"/>
      <c r="L15" s="48"/>
      <c r="M15" s="48"/>
      <c r="N15" s="48"/>
      <c r="O15" s="48"/>
    </row>
    <row r="16" spans="1:15" x14ac:dyDescent="0.2">
      <c r="A16" s="21"/>
      <c r="B16" s="21"/>
      <c r="C16" s="21"/>
      <c r="D16" s="21"/>
      <c r="E16" s="21"/>
      <c r="F16" s="21"/>
      <c r="H16" s="1" t="s">
        <v>11</v>
      </c>
      <c r="I16" s="23">
        <f>IF(A21*5%&gt;500000,500000,A21*5%)</f>
        <v>0</v>
      </c>
      <c r="J16" s="48"/>
      <c r="K16" s="48"/>
      <c r="L16" s="48"/>
      <c r="M16" s="48"/>
      <c r="N16" s="48"/>
      <c r="O16" s="48"/>
    </row>
    <row r="17" spans="1:15" x14ac:dyDescent="0.2">
      <c r="A17" s="8">
        <f t="shared" ref="A17:F17" si="0">SUM(A10:A16)</f>
        <v>0</v>
      </c>
      <c r="B17" s="8">
        <f t="shared" si="0"/>
        <v>0</v>
      </c>
      <c r="C17" s="8">
        <f t="shared" si="0"/>
        <v>0</v>
      </c>
      <c r="D17" s="8">
        <f t="shared" si="0"/>
        <v>0</v>
      </c>
      <c r="E17" s="8">
        <f>SUM(E10:E16)</f>
        <v>0</v>
      </c>
      <c r="F17" s="8">
        <f t="shared" si="0"/>
        <v>0</v>
      </c>
      <c r="H17" s="1" t="s">
        <v>19</v>
      </c>
      <c r="I17" s="32"/>
      <c r="J17" s="48"/>
      <c r="K17" s="48"/>
      <c r="L17" s="48"/>
      <c r="M17" s="48"/>
      <c r="N17" s="48"/>
      <c r="O17" s="48"/>
    </row>
    <row r="18" spans="1:15" x14ac:dyDescent="0.2">
      <c r="A18" s="3"/>
      <c r="B18" s="3"/>
      <c r="C18" s="3"/>
      <c r="D18" s="3"/>
      <c r="E18" s="3"/>
      <c r="F18" s="3"/>
      <c r="H18" s="48"/>
      <c r="I18" s="48"/>
      <c r="J18" s="48"/>
      <c r="K18" s="48"/>
      <c r="L18" s="48"/>
      <c r="M18" s="48"/>
      <c r="N18" s="48"/>
      <c r="O18" s="48"/>
    </row>
    <row r="19" spans="1:15" x14ac:dyDescent="0.2">
      <c r="A19" s="3"/>
      <c r="B19" s="3"/>
      <c r="C19" s="3"/>
      <c r="D19" s="3"/>
      <c r="E19" s="3"/>
      <c r="F19" s="3"/>
      <c r="H19" s="48"/>
      <c r="I19" s="48"/>
      <c r="J19" s="48"/>
      <c r="K19" s="29" t="s">
        <v>38</v>
      </c>
      <c r="L19" s="29"/>
      <c r="M19" s="29"/>
      <c r="N19" s="29"/>
      <c r="O19" s="29"/>
    </row>
    <row r="20" spans="1:15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48"/>
      <c r="H20" s="48"/>
      <c r="I20" s="48"/>
      <c r="J20" s="48"/>
      <c r="K20" s="25"/>
      <c r="L20" s="28" t="s">
        <v>37</v>
      </c>
      <c r="M20" s="28" t="s">
        <v>39</v>
      </c>
      <c r="N20" s="28" t="s">
        <v>43</v>
      </c>
      <c r="O20" s="28" t="s">
        <v>44</v>
      </c>
    </row>
    <row r="21" spans="1:15" x14ac:dyDescent="0.2">
      <c r="A21" s="6">
        <f>A17+C17+D17</f>
        <v>0</v>
      </c>
      <c r="B21" s="6">
        <f>B17+E17+F17</f>
        <v>0</v>
      </c>
      <c r="C21" s="6">
        <f>A21+B21</f>
        <v>0</v>
      </c>
      <c r="D21" s="6">
        <f>A21-I14-I16</f>
        <v>0</v>
      </c>
      <c r="E21" s="6">
        <f>B21-I17</f>
        <v>0</v>
      </c>
      <c r="F21" s="48"/>
      <c r="H21" s="48"/>
      <c r="I21" s="48"/>
      <c r="J21" s="48"/>
      <c r="K21" s="27" t="s">
        <v>45</v>
      </c>
      <c r="L21" s="6">
        <f>'Tax Prove Jan'!D21</f>
        <v>6326231</v>
      </c>
      <c r="M21" s="6">
        <f>'Tax Prove Jan'!E21</f>
        <v>0</v>
      </c>
      <c r="N21" s="6">
        <f>'Tax Prove Jan'!E39</f>
        <v>16308</v>
      </c>
      <c r="O21" s="6">
        <f>'Tax Prove Jan'!E38</f>
        <v>0</v>
      </c>
    </row>
    <row r="22" spans="1:15" x14ac:dyDescent="0.2">
      <c r="A22" s="50"/>
      <c r="B22" s="50"/>
      <c r="C22" s="50"/>
      <c r="D22" s="50"/>
      <c r="E22" s="50"/>
      <c r="F22" s="48"/>
      <c r="H22" s="48"/>
      <c r="I22" s="48"/>
      <c r="J22" s="48"/>
      <c r="K22" s="27" t="s">
        <v>46</v>
      </c>
      <c r="L22" s="6">
        <f>'Tax Prove Feb'!D21</f>
        <v>6326231</v>
      </c>
      <c r="M22" s="6">
        <f>'Tax Prove Feb'!E21</f>
        <v>598452</v>
      </c>
      <c r="N22" s="6">
        <f>'Tax Prove Feb'!E39</f>
        <v>16308</v>
      </c>
      <c r="O22" s="6">
        <f>'Tax Prove Feb'!E38</f>
        <v>29950</v>
      </c>
    </row>
    <row r="23" spans="1:15" ht="19.5" x14ac:dyDescent="0.3">
      <c r="A23" s="48"/>
      <c r="B23" s="48"/>
      <c r="C23" s="48"/>
      <c r="D23" s="55">
        <v>3</v>
      </c>
      <c r="E23" s="48"/>
      <c r="F23" s="48"/>
      <c r="H23" s="48"/>
      <c r="I23" s="48"/>
      <c r="J23" s="48"/>
      <c r="K23" s="27" t="s">
        <v>40</v>
      </c>
      <c r="L23" s="6">
        <f>'Tax Prove Mar'!D22</f>
        <v>6326232</v>
      </c>
      <c r="M23" s="6">
        <f>'Tax Prove Mar'!E22</f>
        <v>249327</v>
      </c>
      <c r="N23" s="6">
        <f>'Tax Prove Mar'!E40</f>
        <v>16309</v>
      </c>
      <c r="O23" s="6">
        <f>'Tax Prove Mar'!E39</f>
        <v>12450</v>
      </c>
    </row>
    <row r="24" spans="1:15" x14ac:dyDescent="0.2">
      <c r="A24" s="1" t="s">
        <v>36</v>
      </c>
      <c r="B24" s="1" t="s">
        <v>35</v>
      </c>
      <c r="C24" s="1" t="s">
        <v>34</v>
      </c>
      <c r="D24" s="1" t="s">
        <v>96</v>
      </c>
      <c r="E24" s="1" t="s">
        <v>32</v>
      </c>
      <c r="F24" s="1" t="s">
        <v>61</v>
      </c>
      <c r="H24" s="48"/>
      <c r="I24" s="48"/>
      <c r="J24" s="48"/>
      <c r="K24" s="27" t="s">
        <v>41</v>
      </c>
      <c r="L24" s="6">
        <f>'Tax Prove Apr'!D22</f>
        <v>6326231</v>
      </c>
      <c r="M24" s="6">
        <f>'Tax Prove Apr'!E22</f>
        <v>5627429</v>
      </c>
      <c r="N24" s="6">
        <f>'Tax Prove Apr'!E40</f>
        <v>16308</v>
      </c>
      <c r="O24" s="6">
        <f>'Tax Prove Apr'!E39</f>
        <v>281350</v>
      </c>
    </row>
    <row r="25" spans="1:15" x14ac:dyDescent="0.2">
      <c r="A25" s="6">
        <f>(D21+L34)*B4/B6</f>
        <v>44068097.142857142</v>
      </c>
      <c r="B25" s="6">
        <f>E21+M34</f>
        <v>9638204</v>
      </c>
      <c r="C25" s="6">
        <f>A25+B25</f>
        <v>53706301.142857142</v>
      </c>
      <c r="D25" s="42">
        <f>'Tax Prove Jan'!D25</f>
        <v>72000000</v>
      </c>
      <c r="E25" s="6">
        <f>C25-D25</f>
        <v>-18293698.857142858</v>
      </c>
      <c r="F25" s="6">
        <f>E25-B25</f>
        <v>-27931902.857142858</v>
      </c>
      <c r="H25" s="48"/>
      <c r="I25" s="48"/>
      <c r="J25" s="48"/>
      <c r="K25" s="27" t="s">
        <v>42</v>
      </c>
      <c r="L25" s="6">
        <f>'Tax Prove Mei'!D21</f>
        <v>401465</v>
      </c>
      <c r="M25" s="6">
        <f>'Tax Prove Mei'!E21</f>
        <v>3162996</v>
      </c>
      <c r="N25" s="6">
        <f>'Tax Prove Mei'!E39</f>
        <v>201996</v>
      </c>
      <c r="O25" s="6">
        <f>'Tax Prove Mei'!E38</f>
        <v>-323750</v>
      </c>
    </row>
    <row r="26" spans="1:15" x14ac:dyDescent="0.2">
      <c r="A26" s="3"/>
      <c r="B26" s="3"/>
      <c r="C26" s="3"/>
      <c r="D26" s="3"/>
      <c r="E26" s="3"/>
      <c r="F26" s="48"/>
      <c r="H26" s="48"/>
      <c r="I26" s="48"/>
      <c r="J26" s="48"/>
      <c r="K26" s="27" t="s">
        <v>47</v>
      </c>
      <c r="L26" s="6">
        <f>'Tax Prove Jun'!D21</f>
        <v>0</v>
      </c>
      <c r="M26" s="6">
        <f>'Tax Prove Jun'!E21</f>
        <v>0</v>
      </c>
      <c r="N26" s="6">
        <f>'Tax Prove Jun'!E39</f>
        <v>-781904</v>
      </c>
      <c r="O26" s="6">
        <f>'Tax Prove Jun'!E38</f>
        <v>481900</v>
      </c>
    </row>
    <row r="27" spans="1:15" x14ac:dyDescent="0.2">
      <c r="A27" s="48" t="s">
        <v>20</v>
      </c>
      <c r="B27" s="48"/>
      <c r="C27" s="48"/>
      <c r="D27" s="48"/>
      <c r="E27" s="1" t="s">
        <v>55</v>
      </c>
      <c r="F27" s="1" t="s">
        <v>62</v>
      </c>
      <c r="H27" s="48"/>
      <c r="I27" s="48"/>
      <c r="J27" s="48"/>
      <c r="K27" s="27" t="s">
        <v>48</v>
      </c>
      <c r="L27" s="2"/>
      <c r="M27" s="2"/>
      <c r="N27" s="2"/>
      <c r="O27" s="2"/>
    </row>
    <row r="28" spans="1:15" x14ac:dyDescent="0.2">
      <c r="A28" s="1" t="s">
        <v>12</v>
      </c>
      <c r="B28" s="1" t="s">
        <v>13</v>
      </c>
      <c r="C28" s="1" t="s">
        <v>8</v>
      </c>
      <c r="D28" s="13"/>
      <c r="E28" s="6">
        <f>E25/1000</f>
        <v>-18293.698857142859</v>
      </c>
      <c r="F28" s="6">
        <f>F25/1000</f>
        <v>-27931.902857142857</v>
      </c>
      <c r="H28" s="48"/>
      <c r="I28" s="48"/>
      <c r="J28" s="48"/>
      <c r="K28" s="27" t="s">
        <v>49</v>
      </c>
      <c r="L28" s="2"/>
      <c r="M28" s="2"/>
      <c r="N28" s="2"/>
      <c r="O28" s="2"/>
    </row>
    <row r="29" spans="1:15" x14ac:dyDescent="0.2">
      <c r="A29" s="10">
        <f>IF(E30&gt;60000000,60000000,E30)</f>
        <v>-18293000</v>
      </c>
      <c r="B29" s="7">
        <v>0.05</v>
      </c>
      <c r="C29" s="6">
        <f>A29*B29</f>
        <v>-914650</v>
      </c>
      <c r="D29" s="14"/>
      <c r="E29" s="32">
        <f>ROUND(E28,0)</f>
        <v>-18294</v>
      </c>
      <c r="F29" s="32">
        <f>ROUND(F28,0)</f>
        <v>-27932</v>
      </c>
      <c r="H29" s="48"/>
      <c r="I29" s="48"/>
      <c r="J29" s="48"/>
      <c r="K29" s="27" t="s">
        <v>50</v>
      </c>
      <c r="L29" s="2"/>
      <c r="M29" s="2"/>
      <c r="N29" s="2"/>
      <c r="O29" s="2"/>
    </row>
    <row r="30" spans="1:15" x14ac:dyDescent="0.2">
      <c r="A30" s="10">
        <f>IF(E30-A29&gt;190000000,190000000,E30-A29)</f>
        <v>0</v>
      </c>
      <c r="B30" s="7">
        <v>0.15</v>
      </c>
      <c r="C30" s="6">
        <f>A30*B30</f>
        <v>0</v>
      </c>
      <c r="D30" s="14"/>
      <c r="E30" s="31">
        <f>ROUNDDOWN(E25,-3)</f>
        <v>-18293000</v>
      </c>
      <c r="F30" s="31">
        <f>ROUNDDOWN(F25,-3)</f>
        <v>-27931000</v>
      </c>
      <c r="H30" s="48"/>
      <c r="I30" s="48"/>
      <c r="J30" s="48"/>
      <c r="K30" s="27" t="s">
        <v>51</v>
      </c>
      <c r="L30" s="2"/>
      <c r="M30" s="2"/>
      <c r="N30" s="2"/>
      <c r="O30" s="2"/>
    </row>
    <row r="31" spans="1:15" x14ac:dyDescent="0.2">
      <c r="A31" s="10">
        <f>IF(E30-(A29+A30)&gt;250000000,250000000,E30-(A29+A30))</f>
        <v>0</v>
      </c>
      <c r="B31" s="7">
        <v>0.25</v>
      </c>
      <c r="C31" s="6">
        <f>A31*B31</f>
        <v>0</v>
      </c>
      <c r="D31" s="14"/>
      <c r="E31" s="30"/>
      <c r="F31" s="3"/>
      <c r="H31" s="48"/>
      <c r="I31" s="48"/>
      <c r="J31" s="48"/>
      <c r="K31" s="27" t="s">
        <v>52</v>
      </c>
      <c r="L31" s="2"/>
      <c r="M31" s="2"/>
      <c r="N31" s="2"/>
      <c r="O31" s="2"/>
    </row>
    <row r="32" spans="1:15" x14ac:dyDescent="0.2">
      <c r="A32" s="10">
        <f>IF(E30-(A29+A30+A31)&gt;4500000000,4500000000,E30-(A29+A30+A31))</f>
        <v>0</v>
      </c>
      <c r="B32" s="7">
        <v>0.3</v>
      </c>
      <c r="C32" s="6">
        <f>A32*B32</f>
        <v>0</v>
      </c>
      <c r="D32" s="14"/>
      <c r="E32" s="30"/>
      <c r="F32" s="3"/>
      <c r="H32" s="48"/>
      <c r="I32" s="48"/>
      <c r="J32" s="48"/>
      <c r="K32" s="27" t="s">
        <v>53</v>
      </c>
      <c r="L32" s="2"/>
      <c r="M32" s="2"/>
      <c r="N32" s="2"/>
      <c r="O32" s="2"/>
    </row>
    <row r="33" spans="1:15" s="65" customFormat="1" x14ac:dyDescent="0.2">
      <c r="A33" s="10">
        <f>IF(E30-(A29+A30+A31+A32)&gt;1,E30-(A29+A30+A31+A32),0)</f>
        <v>0</v>
      </c>
      <c r="B33" s="7">
        <v>0.35</v>
      </c>
      <c r="C33" s="6">
        <f>A33*B33</f>
        <v>0</v>
      </c>
      <c r="D33" s="14"/>
      <c r="E33" s="30"/>
      <c r="F33" s="3"/>
      <c r="K33" s="27"/>
      <c r="L33" s="2"/>
      <c r="M33" s="2"/>
      <c r="N33" s="2"/>
      <c r="O33" s="2"/>
    </row>
    <row r="34" spans="1:15" x14ac:dyDescent="0.2">
      <c r="A34" s="10"/>
      <c r="B34" s="7"/>
      <c r="C34" s="6">
        <f>A34*0.35</f>
        <v>0</v>
      </c>
      <c r="D34" s="14"/>
      <c r="E34" s="15"/>
      <c r="F34" s="3"/>
      <c r="H34" s="48"/>
      <c r="I34" s="48"/>
      <c r="J34" s="48"/>
      <c r="K34" s="26" t="s">
        <v>54</v>
      </c>
      <c r="L34" s="31">
        <f>SUM(L21:L32)</f>
        <v>25706390</v>
      </c>
      <c r="M34" s="31">
        <f>SUM(M21:M32)</f>
        <v>9638204</v>
      </c>
      <c r="N34" s="31">
        <f>SUM(N21:N32)</f>
        <v>-514675</v>
      </c>
      <c r="O34" s="31">
        <f>SUM(O21:O32)</f>
        <v>481900</v>
      </c>
    </row>
    <row r="35" spans="1:15" x14ac:dyDescent="0.2">
      <c r="A35" s="71" t="s">
        <v>14</v>
      </c>
      <c r="B35" s="72"/>
      <c r="C35" s="8">
        <f>SUM(C29:C34)</f>
        <v>-914650</v>
      </c>
      <c r="D35" s="78"/>
      <c r="E35" s="78"/>
      <c r="F35" s="48"/>
      <c r="H35" s="48"/>
      <c r="I35" s="48"/>
      <c r="J35" s="48"/>
      <c r="K35" s="48"/>
      <c r="L35" s="48"/>
      <c r="M35" s="48"/>
      <c r="N35" s="48"/>
      <c r="O35" s="48"/>
    </row>
    <row r="36" spans="1:15" ht="19.5" x14ac:dyDescent="0.3">
      <c r="A36" s="48"/>
      <c r="B36" s="48"/>
      <c r="C36" s="48"/>
      <c r="D36" s="74">
        <v>4</v>
      </c>
      <c r="E36" s="74"/>
      <c r="F36" s="74"/>
      <c r="H36" s="48"/>
      <c r="I36" s="48"/>
      <c r="J36" s="48"/>
      <c r="K36" s="48"/>
      <c r="L36" s="48"/>
      <c r="M36" s="48"/>
      <c r="N36" s="48"/>
      <c r="O36" s="48"/>
    </row>
    <row r="37" spans="1:15" x14ac:dyDescent="0.2">
      <c r="A37" s="48"/>
      <c r="B37" s="48"/>
      <c r="C37" s="48"/>
      <c r="D37" s="48"/>
      <c r="E37" s="53" t="s">
        <v>98</v>
      </c>
      <c r="F37" s="53" t="s">
        <v>90</v>
      </c>
      <c r="H37" s="48"/>
      <c r="I37" s="48"/>
      <c r="J37" s="48"/>
      <c r="K37" s="48"/>
      <c r="L37" s="48"/>
      <c r="M37" s="48"/>
      <c r="N37" s="48"/>
      <c r="O37" s="48"/>
    </row>
    <row r="38" spans="1:15" x14ac:dyDescent="0.2">
      <c r="A38" s="1" t="s">
        <v>15</v>
      </c>
      <c r="B38" s="6">
        <f>C35-C50</f>
        <v>481900</v>
      </c>
      <c r="C38" s="48"/>
      <c r="D38" s="1" t="s">
        <v>17</v>
      </c>
      <c r="E38" s="6">
        <f>C35-B39-O34</f>
        <v>0</v>
      </c>
      <c r="F38" s="6">
        <f>E38-F10</f>
        <v>0</v>
      </c>
      <c r="H38" s="48"/>
      <c r="I38" s="48"/>
      <c r="J38" s="48"/>
      <c r="K38" s="48"/>
      <c r="L38" s="48"/>
      <c r="M38" s="48"/>
      <c r="N38" s="48"/>
      <c r="O38" s="48"/>
    </row>
    <row r="39" spans="1:15" x14ac:dyDescent="0.2">
      <c r="A39" s="1" t="s">
        <v>16</v>
      </c>
      <c r="B39" s="6">
        <f>C50</f>
        <v>-1396550</v>
      </c>
      <c r="C39" s="48"/>
      <c r="D39" s="1" t="s">
        <v>18</v>
      </c>
      <c r="E39" s="6">
        <f>ROUNDDOWN(((B39)*(B6/B4)),0)-N34</f>
        <v>-299979</v>
      </c>
      <c r="F39" s="6">
        <f>E39-D10</f>
        <v>-299979</v>
      </c>
      <c r="H39" s="48"/>
      <c r="I39" s="57"/>
      <c r="J39" s="48"/>
      <c r="K39" s="48"/>
      <c r="L39" s="48"/>
      <c r="M39" s="48"/>
      <c r="N39" s="48"/>
      <c r="O39" s="48"/>
    </row>
    <row r="40" spans="1:15" x14ac:dyDescent="0.2">
      <c r="A40" s="48"/>
      <c r="B40" s="48"/>
      <c r="C40" s="48"/>
      <c r="D40" s="17" t="s">
        <v>23</v>
      </c>
      <c r="E40" s="6">
        <f>E38+E39</f>
        <v>-299979</v>
      </c>
      <c r="F40" s="2"/>
      <c r="H40" s="12"/>
      <c r="I40" s="48"/>
      <c r="J40" s="48"/>
      <c r="K40" s="48"/>
      <c r="L40" s="48"/>
      <c r="M40" s="48"/>
      <c r="N40" s="48"/>
      <c r="O40" s="48"/>
    </row>
    <row r="41" spans="1:15" x14ac:dyDescent="0.2">
      <c r="A41" s="48"/>
      <c r="B41" s="48"/>
      <c r="C41" s="48"/>
      <c r="D41" s="48"/>
      <c r="E41" s="48"/>
      <c r="F41" s="13"/>
      <c r="G41" s="13"/>
      <c r="H41" s="12"/>
      <c r="I41" s="48"/>
      <c r="J41" s="48"/>
      <c r="K41" s="48"/>
      <c r="L41" s="48"/>
      <c r="M41" s="48"/>
      <c r="N41" s="48"/>
      <c r="O41" s="48"/>
    </row>
    <row r="42" spans="1:15" x14ac:dyDescent="0.2">
      <c r="A42" s="48" t="s">
        <v>21</v>
      </c>
      <c r="B42" s="48"/>
      <c r="C42" s="48"/>
      <c r="D42" s="38" t="s">
        <v>105</v>
      </c>
      <c r="E42" s="48"/>
      <c r="F42" s="13"/>
      <c r="G42" s="13"/>
      <c r="H42" s="48"/>
      <c r="I42" s="48"/>
      <c r="J42" s="48"/>
      <c r="K42" s="48"/>
      <c r="L42" s="48"/>
      <c r="M42" s="48"/>
      <c r="N42" s="48"/>
      <c r="O42" s="48"/>
    </row>
    <row r="43" spans="1:15" x14ac:dyDescent="0.2">
      <c r="A43" s="1" t="s">
        <v>12</v>
      </c>
      <c r="B43" s="1" t="s">
        <v>13</v>
      </c>
      <c r="C43" s="1" t="s">
        <v>8</v>
      </c>
      <c r="D43" s="48" t="s">
        <v>100</v>
      </c>
      <c r="E43" s="20"/>
      <c r="F43" s="13"/>
      <c r="G43" s="13"/>
      <c r="H43" s="48"/>
      <c r="I43" s="48"/>
      <c r="J43" s="48"/>
      <c r="K43" s="48"/>
      <c r="L43" s="48"/>
      <c r="M43" s="48"/>
      <c r="N43" s="48"/>
      <c r="O43" s="48"/>
    </row>
    <row r="44" spans="1:15" x14ac:dyDescent="0.2">
      <c r="A44" s="10">
        <f>IF(F30&gt;60000000,60000000,F30)</f>
        <v>-27931000</v>
      </c>
      <c r="B44" s="7">
        <v>0.05</v>
      </c>
      <c r="C44" s="6">
        <f>A44*B44</f>
        <v>-1396550</v>
      </c>
      <c r="D44" s="48" t="s">
        <v>101</v>
      </c>
      <c r="E44" s="48"/>
      <c r="F44" s="14"/>
      <c r="G44" s="14"/>
      <c r="H44" s="48"/>
      <c r="I44" s="48"/>
      <c r="J44" s="48"/>
      <c r="K44" s="48"/>
      <c r="L44" s="48"/>
      <c r="M44" s="48"/>
      <c r="N44" s="48"/>
      <c r="O44" s="48"/>
    </row>
    <row r="45" spans="1:15" x14ac:dyDescent="0.2">
      <c r="A45" s="10">
        <f>IF(F30-A44&gt;190000000,190000000,F30-A44)</f>
        <v>0</v>
      </c>
      <c r="B45" s="7">
        <v>0.15</v>
      </c>
      <c r="C45" s="6">
        <f t="shared" ref="C45:C48" si="1">A45*B45</f>
        <v>0</v>
      </c>
      <c r="D45" s="13" t="s">
        <v>102</v>
      </c>
      <c r="E45" s="48"/>
      <c r="F45" s="13"/>
      <c r="G45" s="13"/>
      <c r="H45" s="48"/>
      <c r="I45" s="48"/>
      <c r="J45" s="48"/>
      <c r="K45" s="48"/>
      <c r="L45" s="48"/>
      <c r="M45" s="48"/>
      <c r="N45" s="48"/>
      <c r="O45" s="48"/>
    </row>
    <row r="46" spans="1:15" x14ac:dyDescent="0.2">
      <c r="A46" s="10">
        <f>IF(F30-(A45+A44)&gt;250000000,250000000,F30-(A45+A44))</f>
        <v>0</v>
      </c>
      <c r="B46" s="7">
        <v>0.25</v>
      </c>
      <c r="C46" s="6">
        <f t="shared" si="1"/>
        <v>0</v>
      </c>
      <c r="D46" s="13" t="s">
        <v>103</v>
      </c>
      <c r="E46" s="11"/>
      <c r="F46" s="14"/>
      <c r="G46" s="14"/>
      <c r="H46" s="48"/>
      <c r="I46" s="48"/>
      <c r="J46" s="48"/>
      <c r="K46" s="48"/>
      <c r="L46" s="48"/>
      <c r="M46" s="48"/>
      <c r="N46" s="48"/>
      <c r="O46" s="48"/>
    </row>
    <row r="47" spans="1:15" x14ac:dyDescent="0.2">
      <c r="A47" s="10">
        <f>IF(F30-(A44+A45+A46)&gt;4500000000,4500000000,F30-(A44+A45+A46))</f>
        <v>0</v>
      </c>
      <c r="B47" s="7">
        <v>0.3</v>
      </c>
      <c r="C47" s="6">
        <f t="shared" si="1"/>
        <v>0</v>
      </c>
      <c r="D47" s="13"/>
      <c r="E47" s="48"/>
      <c r="F47" s="14"/>
      <c r="G47" s="14"/>
      <c r="H47" s="48"/>
      <c r="I47" s="48"/>
      <c r="J47" s="12"/>
      <c r="K47" s="48"/>
      <c r="L47" s="48"/>
      <c r="M47" s="48"/>
      <c r="N47" s="48"/>
      <c r="O47" s="48"/>
    </row>
    <row r="48" spans="1:15" s="65" customFormat="1" x14ac:dyDescent="0.2">
      <c r="A48" s="10">
        <f>IF(F30-(A44+A45+A46+A47)&gt;1,F30-(A44+A45+A46+A47),0)</f>
        <v>0</v>
      </c>
      <c r="B48" s="7">
        <v>0.35</v>
      </c>
      <c r="C48" s="6">
        <f t="shared" si="1"/>
        <v>0</v>
      </c>
      <c r="D48" s="13"/>
      <c r="F48" s="14"/>
      <c r="G48" s="14"/>
      <c r="J48" s="12"/>
    </row>
    <row r="49" spans="1:15" x14ac:dyDescent="0.2">
      <c r="A49" s="10"/>
      <c r="B49" s="7"/>
      <c r="C49" s="6">
        <f>A49*0.35</f>
        <v>0</v>
      </c>
      <c r="D49" s="48"/>
      <c r="E49" s="48"/>
      <c r="F49" s="14"/>
      <c r="G49" s="14"/>
      <c r="H49" s="48"/>
      <c r="I49" s="48"/>
      <c r="J49" s="48"/>
      <c r="K49" s="48"/>
      <c r="L49" s="48"/>
      <c r="M49" s="48"/>
      <c r="N49" s="48"/>
      <c r="O49" s="48"/>
    </row>
    <row r="50" spans="1:15" x14ac:dyDescent="0.2">
      <c r="A50" s="71" t="s">
        <v>22</v>
      </c>
      <c r="B50" s="72"/>
      <c r="C50" s="8">
        <f>SUM(C44:C49)</f>
        <v>-1396550</v>
      </c>
      <c r="D50" s="38" t="s">
        <v>99</v>
      </c>
      <c r="E50" s="48"/>
      <c r="F50" s="14"/>
      <c r="G50" s="14"/>
      <c r="H50" s="48"/>
      <c r="I50" s="48"/>
      <c r="J50" s="48"/>
      <c r="K50" s="48"/>
      <c r="L50" s="48"/>
      <c r="M50" s="48"/>
      <c r="N50" s="48"/>
      <c r="O50" s="48"/>
    </row>
    <row r="51" spans="1:15" x14ac:dyDescent="0.2">
      <c r="A51" s="48"/>
      <c r="B51" s="48"/>
      <c r="C51" s="48"/>
      <c r="D51" s="48" t="s">
        <v>100</v>
      </c>
      <c r="E51" s="48"/>
      <c r="F51" s="14"/>
      <c r="G51" s="14"/>
      <c r="H51" s="48"/>
      <c r="I51" s="48"/>
      <c r="J51" s="48"/>
      <c r="K51" s="48"/>
      <c r="L51" s="48"/>
      <c r="M51" s="48"/>
      <c r="N51" s="48"/>
      <c r="O51" s="48"/>
    </row>
    <row r="52" spans="1:15" x14ac:dyDescent="0.2">
      <c r="A52" s="48"/>
      <c r="B52" s="48"/>
      <c r="C52" s="48"/>
      <c r="D52" s="48" t="s">
        <v>101</v>
      </c>
      <c r="E52" s="48"/>
      <c r="F52" s="14"/>
      <c r="G52" s="14"/>
      <c r="H52" s="48"/>
      <c r="I52" s="48"/>
      <c r="J52" s="48"/>
      <c r="K52" s="48"/>
      <c r="L52" s="48"/>
      <c r="M52" s="48"/>
      <c r="N52" s="48"/>
      <c r="O52" s="48"/>
    </row>
    <row r="53" spans="1:15" x14ac:dyDescent="0.2">
      <c r="A53" s="48"/>
      <c r="B53" s="48"/>
      <c r="C53" s="48"/>
      <c r="D53" s="13" t="s">
        <v>102</v>
      </c>
      <c r="E53" s="48"/>
      <c r="F53" s="48"/>
      <c r="H53" s="48"/>
      <c r="I53" s="48"/>
      <c r="J53" s="48"/>
      <c r="K53" s="48"/>
      <c r="L53" s="48"/>
      <c r="M53" s="48"/>
      <c r="N53" s="48"/>
      <c r="O53" s="48"/>
    </row>
    <row r="54" spans="1:15" x14ac:dyDescent="0.2">
      <c r="A54" s="48"/>
      <c r="B54" s="48"/>
      <c r="C54" s="48"/>
      <c r="D54" s="13" t="s">
        <v>103</v>
      </c>
      <c r="E54" s="48"/>
      <c r="F54" s="48"/>
      <c r="H54" s="48"/>
      <c r="I54" s="48"/>
      <c r="J54" s="48"/>
      <c r="K54" s="48"/>
      <c r="L54" s="48"/>
      <c r="M54" s="48"/>
      <c r="N54" s="48"/>
      <c r="O54" s="48"/>
    </row>
    <row r="55" spans="1:15" x14ac:dyDescent="0.2">
      <c r="A55" s="48"/>
      <c r="B55" s="48"/>
      <c r="C55" s="48"/>
      <c r="D55" s="13" t="s">
        <v>104</v>
      </c>
      <c r="E55" s="48"/>
      <c r="F55" s="48"/>
      <c r="H55" s="48"/>
      <c r="I55" s="48"/>
      <c r="J55" s="48"/>
      <c r="K55" s="48"/>
      <c r="L55" s="48"/>
      <c r="M55" s="48"/>
      <c r="N55" s="48"/>
      <c r="O55" s="48"/>
    </row>
    <row r="56" spans="1:15" x14ac:dyDescent="0.2">
      <c r="A56" s="48"/>
      <c r="B56" s="48"/>
      <c r="C56" s="48"/>
      <c r="D56" s="48"/>
      <c r="E56" s="48"/>
      <c r="F56" s="48"/>
      <c r="H56" s="48"/>
      <c r="I56" s="48"/>
      <c r="J56" s="48"/>
      <c r="K56" s="48"/>
      <c r="L56" s="48"/>
      <c r="M56" s="48"/>
      <c r="N56" s="48"/>
      <c r="O56" s="48"/>
    </row>
    <row r="57" spans="1:15" x14ac:dyDescent="0.2">
      <c r="A57" s="48"/>
      <c r="B57" s="48"/>
      <c r="C57" s="48"/>
      <c r="D57" s="48"/>
      <c r="E57" s="48"/>
      <c r="F57" s="48"/>
      <c r="H57" s="48"/>
      <c r="I57" s="48"/>
      <c r="J57" s="48"/>
      <c r="K57" s="48"/>
      <c r="L57" s="48"/>
      <c r="M57" s="48"/>
      <c r="N57" s="48"/>
      <c r="O57" s="48"/>
    </row>
  </sheetData>
  <mergeCells count="7">
    <mergeCell ref="D36:F36"/>
    <mergeCell ref="A50:B50"/>
    <mergeCell ref="B2:D2"/>
    <mergeCell ref="A8:F8"/>
    <mergeCell ref="H8:I8"/>
    <mergeCell ref="A35:B35"/>
    <mergeCell ref="D35:E35"/>
  </mergeCells>
  <pageMargins left="0.75" right="0.75" top="1" bottom="1" header="0.5" footer="0.5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"/>
  <sheetViews>
    <sheetView topLeftCell="A7" zoomScale="85" zoomScaleNormal="85" zoomScalePageLayoutView="85" workbookViewId="0">
      <selection activeCell="H20" sqref="H20:H21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15.42578125" style="34" customWidth="1"/>
    <col min="8" max="8" width="14.42578125" style="34" customWidth="1"/>
    <col min="9" max="9" width="8.85546875" style="34"/>
    <col min="10" max="10" width="12" style="34" customWidth="1"/>
    <col min="11" max="11" width="12.7109375" style="34" bestFit="1" customWidth="1"/>
    <col min="12" max="12" width="10.7109375" style="34" customWidth="1"/>
    <col min="13" max="13" width="12.5703125" style="34" customWidth="1"/>
    <col min="14" max="14" width="10.7109375" style="34" customWidth="1"/>
    <col min="15" max="16384" width="8.85546875" style="34"/>
  </cols>
  <sheetData>
    <row r="1" spans="1:9" x14ac:dyDescent="0.2">
      <c r="A1" s="2" t="s">
        <v>24</v>
      </c>
      <c r="B1" s="16" t="s">
        <v>59</v>
      </c>
    </row>
    <row r="2" spans="1:9" x14ac:dyDescent="0.2">
      <c r="A2" s="2" t="s">
        <v>10</v>
      </c>
      <c r="B2" s="75" t="s">
        <v>60</v>
      </c>
      <c r="C2" s="76"/>
      <c r="D2" s="76"/>
    </row>
    <row r="3" spans="1:9" x14ac:dyDescent="0.2">
      <c r="A3" s="2" t="s">
        <v>56</v>
      </c>
      <c r="B3" s="24">
        <v>1</v>
      </c>
    </row>
    <row r="4" spans="1:9" x14ac:dyDescent="0.2">
      <c r="A4" s="2" t="s">
        <v>57</v>
      </c>
      <c r="B4" s="2">
        <v>12</v>
      </c>
    </row>
    <row r="5" spans="1:9" x14ac:dyDescent="0.2">
      <c r="A5" s="2" t="s">
        <v>6</v>
      </c>
      <c r="B5" s="2">
        <v>8</v>
      </c>
      <c r="C5" s="33">
        <v>2013</v>
      </c>
    </row>
    <row r="6" spans="1:9" x14ac:dyDescent="0.2">
      <c r="A6" s="32" t="s">
        <v>58</v>
      </c>
      <c r="B6" s="2">
        <f>B5+1-B3</f>
        <v>8</v>
      </c>
      <c r="C6" s="3"/>
    </row>
    <row r="8" spans="1:9" x14ac:dyDescent="0.2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9" x14ac:dyDescent="0.2">
      <c r="A9" s="54"/>
      <c r="B9" s="21"/>
      <c r="C9" s="21"/>
      <c r="D9" s="21"/>
      <c r="E9" s="21"/>
      <c r="F9" s="21"/>
      <c r="H9" s="22"/>
    </row>
    <row r="10" spans="1:9" x14ac:dyDescent="0.2">
      <c r="A10" s="54"/>
      <c r="B10" s="21"/>
      <c r="C10" s="21"/>
      <c r="D10" s="21"/>
      <c r="E10" s="21"/>
      <c r="F10" s="21"/>
      <c r="H10" s="22"/>
    </row>
    <row r="11" spans="1:9" x14ac:dyDescent="0.2">
      <c r="A11" s="54"/>
      <c r="B11" s="21"/>
      <c r="C11" s="21"/>
      <c r="D11" s="21"/>
      <c r="E11" s="21"/>
      <c r="F11" s="21"/>
      <c r="H11" s="22"/>
    </row>
    <row r="12" spans="1:9" x14ac:dyDescent="0.2">
      <c r="A12" s="54"/>
      <c r="B12" s="21"/>
      <c r="C12" s="21"/>
      <c r="D12" s="21"/>
      <c r="E12" s="21"/>
      <c r="F12" s="21"/>
      <c r="H12" s="22"/>
    </row>
    <row r="13" spans="1:9" x14ac:dyDescent="0.2">
      <c r="A13" s="54"/>
      <c r="B13" s="21"/>
      <c r="C13" s="21"/>
      <c r="D13" s="21"/>
      <c r="E13" s="21"/>
      <c r="F13" s="21"/>
      <c r="H13" s="22"/>
      <c r="I13" s="5"/>
    </row>
    <row r="14" spans="1:9" x14ac:dyDescent="0.2">
      <c r="A14" s="21"/>
      <c r="B14" s="21"/>
      <c r="C14" s="21"/>
      <c r="D14" s="21"/>
      <c r="E14" s="21"/>
      <c r="F14" s="21"/>
      <c r="H14" s="22"/>
    </row>
    <row r="15" spans="1:9" x14ac:dyDescent="0.2">
      <c r="A15" s="21"/>
      <c r="B15" s="21"/>
      <c r="C15" s="21"/>
      <c r="D15" s="21"/>
      <c r="E15" s="21"/>
      <c r="F15" s="21"/>
      <c r="H15" s="22"/>
    </row>
    <row r="16" spans="1:9" x14ac:dyDescent="0.2">
      <c r="A16" s="8">
        <f t="shared" ref="A16:F16" si="0">SUM(A9:A15)</f>
        <v>0</v>
      </c>
      <c r="B16" s="8">
        <f t="shared" si="0"/>
        <v>0</v>
      </c>
      <c r="C16" s="8">
        <f t="shared" si="0"/>
        <v>0</v>
      </c>
      <c r="D16" s="8">
        <f t="shared" si="0"/>
        <v>0</v>
      </c>
      <c r="E16" s="8">
        <f>SUM(E9:E15)</f>
        <v>0</v>
      </c>
      <c r="F16" s="8">
        <f t="shared" si="0"/>
        <v>0</v>
      </c>
      <c r="G16" s="19"/>
      <c r="H16" s="22"/>
    </row>
    <row r="17" spans="1:14" x14ac:dyDescent="0.2">
      <c r="A17" s="3"/>
      <c r="B17" s="3"/>
      <c r="C17" s="3"/>
      <c r="D17" s="3"/>
      <c r="E17" s="3"/>
      <c r="F17" s="3"/>
    </row>
    <row r="18" spans="1:14" x14ac:dyDescent="0.2">
      <c r="A18" s="3"/>
      <c r="B18" s="3"/>
      <c r="C18" s="3"/>
      <c r="D18" s="3"/>
      <c r="E18" s="3"/>
      <c r="F18" s="3"/>
      <c r="J18" s="29" t="s">
        <v>38</v>
      </c>
      <c r="K18" s="29"/>
      <c r="L18" s="29"/>
      <c r="M18" s="29"/>
      <c r="N18" s="29"/>
    </row>
    <row r="19" spans="1:14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G19" s="1" t="s">
        <v>7</v>
      </c>
      <c r="H19" s="1" t="s">
        <v>8</v>
      </c>
      <c r="J19" s="25"/>
      <c r="K19" s="28" t="s">
        <v>37</v>
      </c>
      <c r="L19" s="28" t="s">
        <v>39</v>
      </c>
      <c r="M19" s="28" t="s">
        <v>43</v>
      </c>
      <c r="N19" s="28" t="s">
        <v>44</v>
      </c>
    </row>
    <row r="20" spans="1:14" x14ac:dyDescent="0.2">
      <c r="A20" s="6">
        <f>A16+C16+D16</f>
        <v>0</v>
      </c>
      <c r="B20" s="6">
        <f>B16+E16+F16</f>
        <v>0</v>
      </c>
      <c r="C20" s="6">
        <f>A20+B20</f>
        <v>0</v>
      </c>
      <c r="D20" s="6">
        <f>A20-H24-H26</f>
        <v>-4500000</v>
      </c>
      <c r="E20" s="6">
        <f>B20-H27</f>
        <v>0</v>
      </c>
      <c r="G20" s="2" t="s">
        <v>30</v>
      </c>
      <c r="H20" s="18"/>
      <c r="J20" s="27" t="s">
        <v>45</v>
      </c>
      <c r="K20" s="6">
        <f>'Tax Prove Jan'!D21</f>
        <v>6326231</v>
      </c>
      <c r="L20" s="6">
        <f>'Tax Prove Jan'!E21</f>
        <v>0</v>
      </c>
      <c r="M20" s="6">
        <f>'Tax Prove Jan'!E39</f>
        <v>16308</v>
      </c>
      <c r="N20" s="6">
        <f>'Tax Prove Jan'!E38</f>
        <v>0</v>
      </c>
    </row>
    <row r="21" spans="1:14" x14ac:dyDescent="0.2">
      <c r="G21" s="2" t="s">
        <v>31</v>
      </c>
      <c r="H21" s="54"/>
      <c r="J21" s="27" t="s">
        <v>46</v>
      </c>
      <c r="K21" s="6">
        <f>'Tax Prove Feb'!D21</f>
        <v>6326231</v>
      </c>
      <c r="L21" s="6">
        <f>'Tax Prove Feb'!E21</f>
        <v>598452</v>
      </c>
      <c r="M21" s="6">
        <f>'Tax Prove Feb'!E39</f>
        <v>16308</v>
      </c>
      <c r="N21" s="6">
        <f>'Tax Prove Feb'!E38</f>
        <v>29950</v>
      </c>
    </row>
    <row r="22" spans="1:14" x14ac:dyDescent="0.2">
      <c r="A22" s="1" t="s">
        <v>36</v>
      </c>
      <c r="B22" s="1" t="s">
        <v>35</v>
      </c>
      <c r="C22" s="1" t="s">
        <v>34</v>
      </c>
      <c r="D22" s="1" t="s">
        <v>33</v>
      </c>
      <c r="E22" s="1" t="s">
        <v>32</v>
      </c>
      <c r="F22" s="1" t="s">
        <v>61</v>
      </c>
      <c r="G22" s="2"/>
      <c r="H22" s="32">
        <v>4500000</v>
      </c>
      <c r="J22" s="27" t="s">
        <v>40</v>
      </c>
      <c r="K22" s="6">
        <f>'Tax Prove Mar'!D22</f>
        <v>6326232</v>
      </c>
      <c r="L22" s="6">
        <f>'Tax Prove Mar'!E22</f>
        <v>249327</v>
      </c>
      <c r="M22" s="6">
        <f>'Tax Prove Mar'!E40</f>
        <v>16309</v>
      </c>
      <c r="N22" s="6">
        <f>'Tax Prove Mar'!E39</f>
        <v>12450</v>
      </c>
    </row>
    <row r="23" spans="1:14" x14ac:dyDescent="0.2">
      <c r="A23" s="6">
        <f>(D20+K32)*B4/B6</f>
        <v>31809585</v>
      </c>
      <c r="B23" s="6">
        <f>E20+L32</f>
        <v>9638204</v>
      </c>
      <c r="C23" s="6">
        <f>A23+B23</f>
        <v>41447789</v>
      </c>
      <c r="D23" s="42">
        <f>'Tax Prove Jan'!D25</f>
        <v>72000000</v>
      </c>
      <c r="E23" s="6">
        <f>C23-D23</f>
        <v>-30552211</v>
      </c>
      <c r="F23" s="6">
        <f>E23-B23</f>
        <v>-40190415</v>
      </c>
      <c r="G23" s="2"/>
      <c r="H23" s="9"/>
      <c r="J23" s="27" t="s">
        <v>41</v>
      </c>
      <c r="K23" s="6">
        <f>'Tax Prove Apr'!D22</f>
        <v>6326231</v>
      </c>
      <c r="L23" s="6">
        <f>'Tax Prove Apr'!E22</f>
        <v>5627429</v>
      </c>
      <c r="M23" s="6">
        <f>'Tax Prove Apr'!E40</f>
        <v>16308</v>
      </c>
      <c r="N23" s="6">
        <f>'Tax Prove Apr'!E39</f>
        <v>281350</v>
      </c>
    </row>
    <row r="24" spans="1:14" x14ac:dyDescent="0.2">
      <c r="A24" s="3"/>
      <c r="B24" s="3"/>
      <c r="C24" s="3"/>
      <c r="D24" s="3"/>
      <c r="E24" s="3"/>
      <c r="G24" s="4" t="s">
        <v>9</v>
      </c>
      <c r="H24" s="8">
        <f>SUM(H20:H22)</f>
        <v>4500000</v>
      </c>
      <c r="J24" s="27" t="s">
        <v>42</v>
      </c>
      <c r="K24" s="6">
        <f>'Tax Prove Mei'!D21</f>
        <v>401465</v>
      </c>
      <c r="L24" s="6">
        <f>'Tax Prove Mei'!E21</f>
        <v>3162996</v>
      </c>
      <c r="M24" s="6">
        <f>'Tax Prove Mei'!E39</f>
        <v>201996</v>
      </c>
      <c r="N24" s="6">
        <f>'Tax Prove Mei'!E38</f>
        <v>-323750</v>
      </c>
    </row>
    <row r="25" spans="1:14" x14ac:dyDescent="0.2">
      <c r="A25" s="34" t="s">
        <v>20</v>
      </c>
      <c r="E25" s="1" t="s">
        <v>55</v>
      </c>
      <c r="F25" s="1" t="s">
        <v>62</v>
      </c>
      <c r="G25" s="3"/>
      <c r="H25" s="3"/>
      <c r="J25" s="27" t="s">
        <v>47</v>
      </c>
      <c r="K25" s="6">
        <f>'Tax Prove Jun'!D21</f>
        <v>0</v>
      </c>
      <c r="L25" s="6">
        <f>'Tax Prove Jun'!E21</f>
        <v>0</v>
      </c>
      <c r="M25" s="6">
        <f>'Tax Prove Jun'!E39</f>
        <v>-781904</v>
      </c>
      <c r="N25" s="6">
        <f>'Tax Prove Jun'!E38</f>
        <v>481900</v>
      </c>
    </row>
    <row r="26" spans="1:14" x14ac:dyDescent="0.2">
      <c r="A26" s="1" t="s">
        <v>12</v>
      </c>
      <c r="B26" s="1" t="s">
        <v>13</v>
      </c>
      <c r="C26" s="1" t="s">
        <v>8</v>
      </c>
      <c r="D26" s="13"/>
      <c r="E26" s="6">
        <f>E23/1000</f>
        <v>-30552.210999999999</v>
      </c>
      <c r="F26" s="6">
        <f>F23/1000</f>
        <v>-40190.415000000001</v>
      </c>
      <c r="G26" s="1" t="s">
        <v>11</v>
      </c>
      <c r="H26" s="6">
        <f>IF(A20*5%&gt;500000,500000,A20*5%)</f>
        <v>0</v>
      </c>
      <c r="J26" s="27" t="s">
        <v>48</v>
      </c>
      <c r="K26" s="6">
        <f>'Tax Prove Jul'!D21</f>
        <v>0</v>
      </c>
      <c r="L26" s="6">
        <f>'Tax Prove Jul'!E21</f>
        <v>0</v>
      </c>
      <c r="M26" s="6">
        <f>'Tax Prove Jul'!E39</f>
        <v>-299979</v>
      </c>
      <c r="N26" s="6">
        <f>'Tax Prove Jul'!E38</f>
        <v>0</v>
      </c>
    </row>
    <row r="27" spans="1:14" x14ac:dyDescent="0.2">
      <c r="A27" s="10">
        <f>IF(E28&gt;60000000,60000000,E28)</f>
        <v>-30552000</v>
      </c>
      <c r="B27" s="7">
        <v>0.05</v>
      </c>
      <c r="C27" s="6">
        <f>A27*B27</f>
        <v>-1527600</v>
      </c>
      <c r="D27" s="14"/>
      <c r="E27" s="32">
        <f>ROUND(E26,0)</f>
        <v>-30552</v>
      </c>
      <c r="F27" s="32">
        <f>ROUND(F26,0)</f>
        <v>-40190</v>
      </c>
      <c r="G27" s="1" t="s">
        <v>19</v>
      </c>
      <c r="H27" s="21">
        <f>5%*B16</f>
        <v>0</v>
      </c>
      <c r="J27" s="27" t="s">
        <v>49</v>
      </c>
      <c r="K27" s="2"/>
      <c r="L27" s="2"/>
      <c r="M27" s="2"/>
      <c r="N27" s="2"/>
    </row>
    <row r="28" spans="1:14" x14ac:dyDescent="0.2">
      <c r="A28" s="10">
        <f>IF(E28-A27&gt;190000000,190000000,E28-A27)</f>
        <v>0</v>
      </c>
      <c r="B28" s="7">
        <v>0.15</v>
      </c>
      <c r="C28" s="6">
        <f>A28*B28</f>
        <v>0</v>
      </c>
      <c r="D28" s="14"/>
      <c r="E28" s="31">
        <f>E27*1000</f>
        <v>-30552000</v>
      </c>
      <c r="F28" s="31">
        <f>F27*1000</f>
        <v>-40190000</v>
      </c>
      <c r="J28" s="27" t="s">
        <v>50</v>
      </c>
      <c r="K28" s="2"/>
      <c r="L28" s="2"/>
      <c r="M28" s="2"/>
      <c r="N28" s="2"/>
    </row>
    <row r="29" spans="1:14" x14ac:dyDescent="0.2">
      <c r="A29" s="10">
        <f>IF(E28-(A27+A28)&gt;250000000,250000000,E28-(A27+A28))</f>
        <v>0</v>
      </c>
      <c r="B29" s="7">
        <v>0.25</v>
      </c>
      <c r="C29" s="6">
        <f>A29*B29</f>
        <v>0</v>
      </c>
      <c r="D29" s="14"/>
      <c r="E29" s="30"/>
      <c r="F29" s="3"/>
      <c r="J29" s="27" t="s">
        <v>51</v>
      </c>
      <c r="K29" s="2"/>
      <c r="L29" s="2"/>
      <c r="M29" s="2"/>
      <c r="N29" s="2"/>
    </row>
    <row r="30" spans="1:14" x14ac:dyDescent="0.2">
      <c r="A30" s="10">
        <f>IF(E28-(A27+A28+A29)&gt;4500000000,4500000000,E28-(A27+A28+A29))</f>
        <v>0</v>
      </c>
      <c r="B30" s="7">
        <v>0.3</v>
      </c>
      <c r="C30" s="6">
        <f>A30*B30</f>
        <v>0</v>
      </c>
      <c r="D30" s="14"/>
      <c r="E30" s="30"/>
      <c r="F30" s="3"/>
      <c r="J30" s="27" t="s">
        <v>52</v>
      </c>
      <c r="K30" s="2"/>
      <c r="L30" s="2"/>
      <c r="M30" s="2"/>
      <c r="N30" s="2"/>
    </row>
    <row r="31" spans="1:14" x14ac:dyDescent="0.2">
      <c r="A31" s="10">
        <f>IF(E28-(A27+A28+A29+A30)&gt;1,E28-(A27+A28+A29+A30),0)</f>
        <v>0</v>
      </c>
      <c r="B31" s="7">
        <v>0.35</v>
      </c>
      <c r="C31" s="6">
        <f>A31*B31</f>
        <v>0</v>
      </c>
      <c r="D31" s="14"/>
      <c r="E31" s="15"/>
      <c r="F31" s="3"/>
      <c r="J31" s="27" t="s">
        <v>53</v>
      </c>
      <c r="K31" s="2"/>
      <c r="L31" s="2"/>
      <c r="M31" s="2"/>
      <c r="N31" s="2"/>
    </row>
    <row r="32" spans="1:14" x14ac:dyDescent="0.2">
      <c r="A32" s="10"/>
      <c r="B32" s="7"/>
      <c r="C32" s="6">
        <f>A32*0.35</f>
        <v>0</v>
      </c>
      <c r="D32" s="78"/>
      <c r="E32" s="78"/>
      <c r="F32" s="3"/>
      <c r="J32" s="26" t="s">
        <v>54</v>
      </c>
      <c r="K32" s="31">
        <f>SUM(K20:K31)</f>
        <v>25706390</v>
      </c>
      <c r="L32" s="31">
        <f>SUM(L20:L31)</f>
        <v>9638204</v>
      </c>
      <c r="M32" s="31">
        <f>SUM(M20:M31)</f>
        <v>-814654</v>
      </c>
      <c r="N32" s="31">
        <f>SUM(N20:N31)</f>
        <v>481900</v>
      </c>
    </row>
    <row r="33" spans="1:9" x14ac:dyDescent="0.2">
      <c r="A33" s="71" t="s">
        <v>14</v>
      </c>
      <c r="B33" s="72"/>
      <c r="C33" s="8">
        <f>SUM(C27:C32)</f>
        <v>-1527600</v>
      </c>
    </row>
    <row r="34" spans="1:9" x14ac:dyDescent="0.2">
      <c r="D34" s="1" t="s">
        <v>17</v>
      </c>
      <c r="E34" s="6">
        <f>C33-B36-N32</f>
        <v>0</v>
      </c>
    </row>
    <row r="35" spans="1:9" x14ac:dyDescent="0.2">
      <c r="A35" s="1" t="s">
        <v>15</v>
      </c>
      <c r="B35" s="6">
        <f>C33-C47</f>
        <v>481900</v>
      </c>
      <c r="D35" s="1" t="s">
        <v>18</v>
      </c>
      <c r="E35" s="6">
        <f>B36*(B6/B4)-M32</f>
        <v>-525012.66666666651</v>
      </c>
    </row>
    <row r="36" spans="1:9" x14ac:dyDescent="0.2">
      <c r="A36" s="1" t="s">
        <v>16</v>
      </c>
      <c r="B36" s="6">
        <f>C47</f>
        <v>-2009500</v>
      </c>
      <c r="D36" s="17" t="s">
        <v>23</v>
      </c>
      <c r="E36" s="6">
        <f>E34+E35</f>
        <v>-525012.66666666651</v>
      </c>
      <c r="G36" s="12"/>
    </row>
    <row r="37" spans="1:9" x14ac:dyDescent="0.2">
      <c r="F37" s="13"/>
    </row>
    <row r="38" spans="1:9" x14ac:dyDescent="0.2">
      <c r="F38" s="13"/>
    </row>
    <row r="39" spans="1:9" x14ac:dyDescent="0.2">
      <c r="A39" s="34" t="s">
        <v>21</v>
      </c>
      <c r="E39" s="20"/>
      <c r="F39" s="13"/>
    </row>
    <row r="40" spans="1:9" x14ac:dyDescent="0.2">
      <c r="A40" s="1" t="s">
        <v>12</v>
      </c>
      <c r="B40" s="1" t="s">
        <v>13</v>
      </c>
      <c r="C40" s="1" t="s">
        <v>8</v>
      </c>
      <c r="F40" s="13"/>
    </row>
    <row r="41" spans="1:9" x14ac:dyDescent="0.2">
      <c r="A41" s="10">
        <f>IF(F28&gt;60000000,60000000,F28)</f>
        <v>-40190000</v>
      </c>
      <c r="B41" s="7">
        <v>0.05</v>
      </c>
      <c r="C41" s="6">
        <f>A41*B41</f>
        <v>-2009500</v>
      </c>
      <c r="F41" s="13"/>
    </row>
    <row r="42" spans="1:9" x14ac:dyDescent="0.2">
      <c r="A42" s="10">
        <f>IF(F28-A41&gt;190000000,190000000,F28-A41)</f>
        <v>0</v>
      </c>
      <c r="B42" s="7">
        <v>0.15</v>
      </c>
      <c r="C42" s="6">
        <f t="shared" ref="C42:C45" si="1">A42*B42</f>
        <v>0</v>
      </c>
      <c r="E42" s="11"/>
      <c r="F42" s="14"/>
    </row>
    <row r="43" spans="1:9" x14ac:dyDescent="0.2">
      <c r="A43" s="10">
        <f>IF(F28-(A41+A42)&gt;250000000,250000000,F28-(A41+A42))</f>
        <v>0</v>
      </c>
      <c r="B43" s="7">
        <v>0.25</v>
      </c>
      <c r="C43" s="6">
        <f t="shared" si="1"/>
        <v>0</v>
      </c>
      <c r="F43" s="14"/>
    </row>
    <row r="44" spans="1:9" x14ac:dyDescent="0.2">
      <c r="A44" s="10">
        <f>IF(F28-(A41+A42+A43)&gt;4500000000,4500000000,F28-(A41+A42+A43))</f>
        <v>0</v>
      </c>
      <c r="B44" s="7">
        <v>0.3</v>
      </c>
      <c r="C44" s="6">
        <f t="shared" si="1"/>
        <v>0</v>
      </c>
      <c r="F44" s="14"/>
    </row>
    <row r="45" spans="1:9" s="65" customFormat="1" x14ac:dyDescent="0.2">
      <c r="A45" s="10">
        <f>IF(F28-(A41+A42+A43+A44)&gt;1,F28-(A41+A42+A43+A44),0)</f>
        <v>0</v>
      </c>
      <c r="B45" s="7">
        <v>0.35</v>
      </c>
      <c r="C45" s="6">
        <f t="shared" si="1"/>
        <v>0</v>
      </c>
      <c r="F45" s="14"/>
    </row>
    <row r="46" spans="1:9" x14ac:dyDescent="0.2">
      <c r="A46" s="10"/>
      <c r="B46" s="7"/>
      <c r="C46" s="6">
        <f>A46*0.35</f>
        <v>0</v>
      </c>
      <c r="F46" s="14"/>
    </row>
    <row r="47" spans="1:9" x14ac:dyDescent="0.2">
      <c r="A47" s="71" t="s">
        <v>22</v>
      </c>
      <c r="B47" s="72"/>
      <c r="C47" s="8">
        <f>SUM(C41:C46)</f>
        <v>-2009500</v>
      </c>
      <c r="F47" s="14"/>
      <c r="I47" s="12"/>
    </row>
    <row r="48" spans="1:9" x14ac:dyDescent="0.2">
      <c r="F48" s="14"/>
    </row>
  </sheetData>
  <mergeCells count="4">
    <mergeCell ref="B2:D2"/>
    <mergeCell ref="A33:B33"/>
    <mergeCell ref="D32:E32"/>
    <mergeCell ref="A47:B47"/>
  </mergeCells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8"/>
  <sheetViews>
    <sheetView topLeftCell="A7" zoomScale="85" zoomScaleNormal="85" zoomScalePageLayoutView="85" workbookViewId="0">
      <selection activeCell="I13" sqref="I13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16.28515625" style="34" customWidth="1"/>
    <col min="7" max="7" width="15.42578125" style="34" customWidth="1"/>
    <col min="8" max="8" width="14.42578125" style="34" customWidth="1"/>
    <col min="9" max="9" width="8.85546875" style="34"/>
    <col min="10" max="10" width="12" style="34" customWidth="1"/>
    <col min="11" max="11" width="12.7109375" style="34" bestFit="1" customWidth="1"/>
    <col min="12" max="12" width="10.7109375" style="34" customWidth="1"/>
    <col min="13" max="13" width="12.7109375" style="34" bestFit="1" customWidth="1"/>
    <col min="14" max="14" width="10.7109375" style="34" customWidth="1"/>
    <col min="15" max="16384" width="8.85546875" style="34"/>
  </cols>
  <sheetData>
    <row r="1" spans="1:9" x14ac:dyDescent="0.2">
      <c r="A1" s="2" t="s">
        <v>24</v>
      </c>
      <c r="B1" s="16" t="s">
        <v>59</v>
      </c>
    </row>
    <row r="2" spans="1:9" x14ac:dyDescent="0.2">
      <c r="A2" s="2" t="s">
        <v>10</v>
      </c>
      <c r="B2" s="75" t="s">
        <v>60</v>
      </c>
      <c r="C2" s="76"/>
      <c r="D2" s="76"/>
    </row>
    <row r="3" spans="1:9" x14ac:dyDescent="0.2">
      <c r="A3" s="2" t="s">
        <v>56</v>
      </c>
      <c r="B3" s="24">
        <v>1</v>
      </c>
    </row>
    <row r="4" spans="1:9" x14ac:dyDescent="0.2">
      <c r="A4" s="2" t="s">
        <v>57</v>
      </c>
      <c r="B4" s="2">
        <v>12</v>
      </c>
    </row>
    <row r="5" spans="1:9" x14ac:dyDescent="0.2">
      <c r="A5" s="2" t="s">
        <v>6</v>
      </c>
      <c r="B5" s="2">
        <v>9</v>
      </c>
      <c r="C5" s="33">
        <v>2013</v>
      </c>
    </row>
    <row r="6" spans="1:9" x14ac:dyDescent="0.2">
      <c r="A6" s="32" t="s">
        <v>58</v>
      </c>
      <c r="B6" s="2">
        <f>B5+1-B3</f>
        <v>9</v>
      </c>
      <c r="C6" s="3"/>
    </row>
    <row r="8" spans="1:9" x14ac:dyDescent="0.2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9" x14ac:dyDescent="0.2">
      <c r="A9" s="54"/>
      <c r="B9" s="21"/>
      <c r="C9" s="21"/>
      <c r="D9" s="21"/>
      <c r="E9" s="21"/>
      <c r="F9" s="21"/>
      <c r="H9" s="22"/>
    </row>
    <row r="10" spans="1:9" x14ac:dyDescent="0.2">
      <c r="A10" s="54"/>
      <c r="B10" s="21"/>
      <c r="C10" s="21"/>
      <c r="D10" s="21"/>
      <c r="E10" s="21"/>
      <c r="F10" s="21"/>
      <c r="H10" s="22"/>
    </row>
    <row r="11" spans="1:9" x14ac:dyDescent="0.2">
      <c r="A11" s="54"/>
      <c r="B11" s="21"/>
      <c r="C11" s="21"/>
      <c r="D11" s="21"/>
      <c r="E11" s="21"/>
      <c r="F11" s="21"/>
      <c r="H11" s="22"/>
    </row>
    <row r="12" spans="1:9" x14ac:dyDescent="0.2">
      <c r="A12" s="54"/>
      <c r="B12" s="21"/>
      <c r="C12" s="21"/>
      <c r="D12" s="21"/>
      <c r="E12" s="21"/>
      <c r="F12" s="21"/>
      <c r="H12" s="22"/>
    </row>
    <row r="13" spans="1:9" x14ac:dyDescent="0.2">
      <c r="A13" s="54"/>
      <c r="B13" s="21"/>
      <c r="C13" s="21"/>
      <c r="D13" s="21"/>
      <c r="E13" s="21"/>
      <c r="F13" s="21"/>
      <c r="H13" s="22"/>
      <c r="I13" s="5"/>
    </row>
    <row r="14" spans="1:9" x14ac:dyDescent="0.2">
      <c r="A14" s="21"/>
      <c r="B14" s="21"/>
      <c r="C14" s="21"/>
      <c r="D14" s="21"/>
      <c r="E14" s="21"/>
      <c r="F14" s="21"/>
      <c r="H14" s="22"/>
    </row>
    <row r="15" spans="1:9" x14ac:dyDescent="0.2">
      <c r="A15" s="21"/>
      <c r="B15" s="21"/>
      <c r="C15" s="21"/>
      <c r="D15" s="21"/>
      <c r="E15" s="21"/>
      <c r="F15" s="21"/>
      <c r="H15" s="22"/>
    </row>
    <row r="16" spans="1:9" x14ac:dyDescent="0.2">
      <c r="A16" s="8">
        <f t="shared" ref="A16:F16" si="0">SUM(A9:A15)</f>
        <v>0</v>
      </c>
      <c r="B16" s="8">
        <f t="shared" si="0"/>
        <v>0</v>
      </c>
      <c r="C16" s="8">
        <f t="shared" si="0"/>
        <v>0</v>
      </c>
      <c r="D16" s="8">
        <f t="shared" si="0"/>
        <v>0</v>
      </c>
      <c r="E16" s="8">
        <f>SUM(E9:E15)</f>
        <v>0</v>
      </c>
      <c r="F16" s="8">
        <f t="shared" si="0"/>
        <v>0</v>
      </c>
      <c r="G16" s="19"/>
      <c r="H16" s="22"/>
    </row>
    <row r="17" spans="1:14" x14ac:dyDescent="0.2">
      <c r="A17" s="3"/>
      <c r="B17" s="3"/>
      <c r="C17" s="3"/>
      <c r="D17" s="3"/>
      <c r="E17" s="3"/>
      <c r="F17" s="3"/>
    </row>
    <row r="18" spans="1:14" x14ac:dyDescent="0.2">
      <c r="A18" s="3"/>
      <c r="B18" s="3"/>
      <c r="C18" s="3"/>
      <c r="D18" s="3"/>
      <c r="E18" s="3"/>
      <c r="F18" s="3"/>
      <c r="J18" s="29" t="s">
        <v>38</v>
      </c>
      <c r="K18" s="29"/>
      <c r="L18" s="29"/>
      <c r="M18" s="29"/>
      <c r="N18" s="29"/>
    </row>
    <row r="19" spans="1:14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G19" s="1" t="s">
        <v>7</v>
      </c>
      <c r="H19" s="1" t="s">
        <v>8</v>
      </c>
      <c r="J19" s="25"/>
      <c r="K19" s="28" t="s">
        <v>37</v>
      </c>
      <c r="L19" s="28" t="s">
        <v>39</v>
      </c>
      <c r="M19" s="28" t="s">
        <v>43</v>
      </c>
      <c r="N19" s="28" t="s">
        <v>44</v>
      </c>
    </row>
    <row r="20" spans="1:14" x14ac:dyDescent="0.2">
      <c r="A20" s="6">
        <f>A16+C16+D16</f>
        <v>0</v>
      </c>
      <c r="B20" s="6">
        <f>B16+E16+F16</f>
        <v>0</v>
      </c>
      <c r="C20" s="6">
        <f>A20+B20</f>
        <v>0</v>
      </c>
      <c r="D20" s="6">
        <f>A20-H24-H26</f>
        <v>0</v>
      </c>
      <c r="E20" s="6">
        <f>B20-H27</f>
        <v>0</v>
      </c>
      <c r="G20" s="2" t="s">
        <v>30</v>
      </c>
      <c r="H20" s="18"/>
      <c r="J20" s="27" t="s">
        <v>45</v>
      </c>
      <c r="K20" s="6">
        <f>'Tax Prove Jan'!D21</f>
        <v>6326231</v>
      </c>
      <c r="L20" s="6">
        <f>'Tax Prove Jan'!E21</f>
        <v>0</v>
      </c>
      <c r="M20" s="6">
        <f>'Tax Prove Jan'!E39</f>
        <v>16308</v>
      </c>
      <c r="N20" s="6">
        <f>'Tax Prove Jan'!E38</f>
        <v>0</v>
      </c>
    </row>
    <row r="21" spans="1:14" x14ac:dyDescent="0.2">
      <c r="G21" s="2" t="s">
        <v>31</v>
      </c>
      <c r="H21" s="54"/>
      <c r="J21" s="27" t="s">
        <v>46</v>
      </c>
      <c r="K21" s="6">
        <f>'Tax Prove Feb'!D21</f>
        <v>6326231</v>
      </c>
      <c r="L21" s="6">
        <f>'Tax Prove Feb'!E21</f>
        <v>598452</v>
      </c>
      <c r="M21" s="6">
        <f>'Tax Prove Feb'!E39</f>
        <v>16308</v>
      </c>
      <c r="N21" s="6">
        <f>'Tax Prove Feb'!E38</f>
        <v>29950</v>
      </c>
    </row>
    <row r="22" spans="1:14" x14ac:dyDescent="0.2">
      <c r="A22" s="1" t="s">
        <v>36</v>
      </c>
      <c r="B22" s="1" t="s">
        <v>35</v>
      </c>
      <c r="C22" s="1" t="s">
        <v>34</v>
      </c>
      <c r="D22" s="1" t="s">
        <v>33</v>
      </c>
      <c r="E22" s="1" t="s">
        <v>32</v>
      </c>
      <c r="F22" s="1" t="s">
        <v>61</v>
      </c>
      <c r="G22" s="2"/>
      <c r="H22" s="32"/>
      <c r="J22" s="27" t="s">
        <v>40</v>
      </c>
      <c r="K22" s="6">
        <f>'Tax Prove Mar'!D22</f>
        <v>6326232</v>
      </c>
      <c r="L22" s="6">
        <f>'Tax Prove Mar'!E22</f>
        <v>249327</v>
      </c>
      <c r="M22" s="6">
        <f>'Tax Prove Mar'!E40</f>
        <v>16309</v>
      </c>
      <c r="N22" s="6">
        <f>'Tax Prove Mar'!E39</f>
        <v>12450</v>
      </c>
    </row>
    <row r="23" spans="1:14" x14ac:dyDescent="0.2">
      <c r="A23" s="6">
        <f>(D20+K32)*B4/B6</f>
        <v>28275186.666666668</v>
      </c>
      <c r="B23" s="6">
        <f>E20+L32</f>
        <v>9638204</v>
      </c>
      <c r="C23" s="6">
        <f>A23+B23</f>
        <v>37913390.666666672</v>
      </c>
      <c r="D23" s="42">
        <f>'Tax Prove Jan'!D25</f>
        <v>72000000</v>
      </c>
      <c r="E23" s="6">
        <f>C23-D23</f>
        <v>-34086609.333333328</v>
      </c>
      <c r="F23" s="6">
        <f>E23-B23</f>
        <v>-43724813.333333328</v>
      </c>
      <c r="G23" s="2"/>
      <c r="H23" s="9"/>
      <c r="J23" s="27" t="s">
        <v>41</v>
      </c>
      <c r="K23" s="6">
        <f>'Tax Prove Apr'!D22</f>
        <v>6326231</v>
      </c>
      <c r="L23" s="6">
        <f>'Tax Prove Apr'!E22</f>
        <v>5627429</v>
      </c>
      <c r="M23" s="6">
        <f>'Tax Prove Apr'!E40</f>
        <v>16308</v>
      </c>
      <c r="N23" s="6">
        <f>'Tax Prove Apr'!E39</f>
        <v>281350</v>
      </c>
    </row>
    <row r="24" spans="1:14" x14ac:dyDescent="0.2">
      <c r="A24" s="3"/>
      <c r="B24" s="3"/>
      <c r="C24" s="3"/>
      <c r="D24" s="3"/>
      <c r="E24" s="3"/>
      <c r="F24" s="35"/>
      <c r="G24" s="4" t="s">
        <v>9</v>
      </c>
      <c r="H24" s="8">
        <f>SUM(H20:H22)</f>
        <v>0</v>
      </c>
      <c r="J24" s="27" t="s">
        <v>42</v>
      </c>
      <c r="K24" s="6">
        <f>'Tax Prove Mei'!D21</f>
        <v>401465</v>
      </c>
      <c r="L24" s="6">
        <f>'Tax Prove Mei'!E21</f>
        <v>3162996</v>
      </c>
      <c r="M24" s="6">
        <f>'Tax Prove Mei'!E39</f>
        <v>201996</v>
      </c>
      <c r="N24" s="6">
        <f>'Tax Prove Mei'!E38</f>
        <v>-323750</v>
      </c>
    </row>
    <row r="25" spans="1:14" x14ac:dyDescent="0.2">
      <c r="A25" s="34" t="s">
        <v>20</v>
      </c>
      <c r="E25" s="1" t="s">
        <v>55</v>
      </c>
      <c r="F25" s="1" t="s">
        <v>62</v>
      </c>
      <c r="G25" s="3"/>
      <c r="H25" s="3"/>
      <c r="J25" s="27" t="s">
        <v>47</v>
      </c>
      <c r="K25" s="6">
        <f>'Tax Prove Jun'!D21</f>
        <v>0</v>
      </c>
      <c r="L25" s="6">
        <f>'Tax Prove Jun'!E21</f>
        <v>0</v>
      </c>
      <c r="M25" s="6">
        <f>'Tax Prove Jun'!E39</f>
        <v>-781904</v>
      </c>
      <c r="N25" s="6">
        <f>'Tax Prove Jun'!E38</f>
        <v>481900</v>
      </c>
    </row>
    <row r="26" spans="1:14" x14ac:dyDescent="0.2">
      <c r="A26" s="1" t="s">
        <v>12</v>
      </c>
      <c r="B26" s="1" t="s">
        <v>13</v>
      </c>
      <c r="C26" s="1" t="s">
        <v>8</v>
      </c>
      <c r="D26" s="13"/>
      <c r="E26" s="6">
        <f>E23/1000</f>
        <v>-34086.609333333327</v>
      </c>
      <c r="F26" s="6">
        <f>F23/1000</f>
        <v>-43724.813333333332</v>
      </c>
      <c r="G26" s="1" t="s">
        <v>11</v>
      </c>
      <c r="H26" s="6">
        <f>IF(A20*5%&gt;500000,500000,A20*5%)</f>
        <v>0</v>
      </c>
      <c r="J26" s="27" t="s">
        <v>48</v>
      </c>
      <c r="K26" s="6">
        <f>'Tax Prove Jul'!D21</f>
        <v>0</v>
      </c>
      <c r="L26" s="6">
        <f>'Tax Prove Jul'!E21</f>
        <v>0</v>
      </c>
      <c r="M26" s="6">
        <f>'Tax Prove Jul'!E39</f>
        <v>-299979</v>
      </c>
      <c r="N26" s="6">
        <f>'Tax Prove Jul'!E38</f>
        <v>0</v>
      </c>
    </row>
    <row r="27" spans="1:14" x14ac:dyDescent="0.2">
      <c r="A27" s="10">
        <f>IF(E28&gt;60000000,60000000,E28)</f>
        <v>-34087000</v>
      </c>
      <c r="B27" s="7">
        <v>0.05</v>
      </c>
      <c r="C27" s="6">
        <f>A27*B27</f>
        <v>-1704350</v>
      </c>
      <c r="D27" s="14"/>
      <c r="E27" s="32">
        <f>ROUND(E26,0)</f>
        <v>-34087</v>
      </c>
      <c r="F27" s="32">
        <f>ROUND(F26,0)</f>
        <v>-43725</v>
      </c>
      <c r="G27" s="1" t="s">
        <v>19</v>
      </c>
      <c r="H27" s="21"/>
      <c r="J27" s="27" t="s">
        <v>49</v>
      </c>
      <c r="K27" s="6">
        <f>'Tax Prove Agt'!D20</f>
        <v>-4500000</v>
      </c>
      <c r="L27" s="6">
        <f>'Tax Prove Agt'!E20</f>
        <v>0</v>
      </c>
      <c r="M27" s="6">
        <f>'Tax Prove Agt'!E35</f>
        <v>-525012.66666666651</v>
      </c>
      <c r="N27" s="6">
        <f>'Tax Prove Agt'!E34</f>
        <v>0</v>
      </c>
    </row>
    <row r="28" spans="1:14" x14ac:dyDescent="0.2">
      <c r="A28" s="10">
        <f>IF(E28-A27&gt;190000000,190000000,E28-A27)</f>
        <v>0</v>
      </c>
      <c r="B28" s="7">
        <v>0.15</v>
      </c>
      <c r="C28" s="6">
        <f>A28*B28</f>
        <v>0</v>
      </c>
      <c r="D28" s="14"/>
      <c r="E28" s="31">
        <f>E27*1000</f>
        <v>-34087000</v>
      </c>
      <c r="F28" s="31">
        <f>F27*1000</f>
        <v>-43725000</v>
      </c>
      <c r="J28" s="27" t="s">
        <v>50</v>
      </c>
      <c r="K28" s="2"/>
      <c r="L28" s="2"/>
      <c r="M28" s="2"/>
      <c r="N28" s="2"/>
    </row>
    <row r="29" spans="1:14" x14ac:dyDescent="0.2">
      <c r="A29" s="10">
        <f>IF(E28-(A27+A28)&gt;250000000,250000000,E28-(A27+A28))</f>
        <v>0</v>
      </c>
      <c r="B29" s="7">
        <v>0.25</v>
      </c>
      <c r="C29" s="6">
        <f>A29*B29</f>
        <v>0</v>
      </c>
      <c r="D29" s="14"/>
      <c r="E29" s="30"/>
      <c r="F29" s="3"/>
      <c r="J29" s="27" t="s">
        <v>51</v>
      </c>
      <c r="K29" s="2"/>
      <c r="L29" s="2"/>
      <c r="M29" s="2"/>
      <c r="N29" s="2"/>
    </row>
    <row r="30" spans="1:14" x14ac:dyDescent="0.2">
      <c r="A30" s="10">
        <f>IF(E28-(A27+A28+A29)&gt;4500000000,4500000000,E28-(A27+A28+A29))</f>
        <v>0</v>
      </c>
      <c r="B30" s="7">
        <v>0.3</v>
      </c>
      <c r="C30" s="6">
        <f>A30*B30</f>
        <v>0</v>
      </c>
      <c r="D30" s="14"/>
      <c r="E30" s="30"/>
      <c r="F30" s="3"/>
      <c r="J30" s="27" t="s">
        <v>52</v>
      </c>
      <c r="K30" s="2"/>
      <c r="L30" s="2"/>
      <c r="M30" s="2"/>
      <c r="N30" s="2"/>
    </row>
    <row r="31" spans="1:14" x14ac:dyDescent="0.2">
      <c r="A31" s="10">
        <f>IF(E28-(A27+A28+A29+A30)&gt;1,E28-(A27+A28+A29+A30),0)</f>
        <v>0</v>
      </c>
      <c r="B31" s="7">
        <v>0.35</v>
      </c>
      <c r="C31" s="6">
        <f>A31*B31</f>
        <v>0</v>
      </c>
      <c r="D31" s="14"/>
      <c r="E31" s="15"/>
      <c r="F31" s="3"/>
      <c r="J31" s="27" t="s">
        <v>53</v>
      </c>
      <c r="K31" s="2"/>
      <c r="L31" s="2"/>
      <c r="M31" s="2"/>
      <c r="N31" s="2"/>
    </row>
    <row r="32" spans="1:14" x14ac:dyDescent="0.2">
      <c r="A32" s="10"/>
      <c r="B32" s="7"/>
      <c r="C32" s="6">
        <f>A32*0.35</f>
        <v>0</v>
      </c>
      <c r="D32" s="78"/>
      <c r="E32" s="78"/>
      <c r="F32" s="3"/>
      <c r="J32" s="26" t="s">
        <v>54</v>
      </c>
      <c r="K32" s="31">
        <f>SUM(K20:K31)</f>
        <v>21206390</v>
      </c>
      <c r="L32" s="31">
        <f>SUM(L20:L31)</f>
        <v>9638204</v>
      </c>
      <c r="M32" s="31">
        <f>SUM(M20:M31)</f>
        <v>-1339666.6666666665</v>
      </c>
      <c r="N32" s="31">
        <f>SUM(N20:N31)</f>
        <v>481900</v>
      </c>
    </row>
    <row r="33" spans="1:9" x14ac:dyDescent="0.2">
      <c r="A33" s="71" t="s">
        <v>14</v>
      </c>
      <c r="B33" s="72"/>
      <c r="C33" s="8">
        <f>SUM(C27:C32)</f>
        <v>-1704350</v>
      </c>
    </row>
    <row r="34" spans="1:9" x14ac:dyDescent="0.2">
      <c r="D34" s="1" t="s">
        <v>17</v>
      </c>
      <c r="E34" s="6">
        <f>C33-B36-N32</f>
        <v>0</v>
      </c>
    </row>
    <row r="35" spans="1:9" x14ac:dyDescent="0.2">
      <c r="A35" s="1" t="s">
        <v>15</v>
      </c>
      <c r="B35" s="6">
        <f>C33-C47</f>
        <v>481900</v>
      </c>
      <c r="D35" s="1" t="s">
        <v>18</v>
      </c>
      <c r="E35" s="6">
        <f>B36*(B6/B4)-M32</f>
        <v>-300020.83333333349</v>
      </c>
    </row>
    <row r="36" spans="1:9" x14ac:dyDescent="0.2">
      <c r="A36" s="1" t="s">
        <v>16</v>
      </c>
      <c r="B36" s="6">
        <f>C47</f>
        <v>-2186250</v>
      </c>
      <c r="D36" s="17" t="s">
        <v>23</v>
      </c>
      <c r="E36" s="6">
        <f>E34+E35</f>
        <v>-300020.83333333349</v>
      </c>
      <c r="G36" s="12"/>
    </row>
    <row r="37" spans="1:9" x14ac:dyDescent="0.2">
      <c r="F37" s="13"/>
    </row>
    <row r="38" spans="1:9" x14ac:dyDescent="0.2">
      <c r="F38" s="13"/>
    </row>
    <row r="39" spans="1:9" x14ac:dyDescent="0.2">
      <c r="A39" s="34" t="s">
        <v>21</v>
      </c>
      <c r="E39" s="20"/>
      <c r="F39" s="13"/>
    </row>
    <row r="40" spans="1:9" x14ac:dyDescent="0.2">
      <c r="A40" s="1" t="s">
        <v>12</v>
      </c>
      <c r="B40" s="1" t="s">
        <v>13</v>
      </c>
      <c r="C40" s="1" t="s">
        <v>8</v>
      </c>
      <c r="F40" s="13"/>
    </row>
    <row r="41" spans="1:9" x14ac:dyDescent="0.2">
      <c r="A41" s="10">
        <f>IF(F28&gt;60000000,60000000,F28)</f>
        <v>-43725000</v>
      </c>
      <c r="B41" s="7">
        <v>0.05</v>
      </c>
      <c r="C41" s="6">
        <f>A41*B41</f>
        <v>-2186250</v>
      </c>
      <c r="F41" s="13"/>
    </row>
    <row r="42" spans="1:9" x14ac:dyDescent="0.2">
      <c r="A42" s="10">
        <f>IF(F28-A41&gt;190000000,190000000,F28-A41)</f>
        <v>0</v>
      </c>
      <c r="B42" s="7">
        <v>0.15</v>
      </c>
      <c r="C42" s="6">
        <f t="shared" ref="C42:C45" si="1">A42*B42</f>
        <v>0</v>
      </c>
      <c r="E42" s="11"/>
      <c r="F42" s="14"/>
    </row>
    <row r="43" spans="1:9" x14ac:dyDescent="0.2">
      <c r="A43" s="10">
        <f>IF(F28-(A41+A42)&gt;250000000,250000000,F28-(A41+A42))</f>
        <v>0</v>
      </c>
      <c r="B43" s="7">
        <v>0.25</v>
      </c>
      <c r="C43" s="6">
        <f t="shared" si="1"/>
        <v>0</v>
      </c>
      <c r="F43" s="14"/>
    </row>
    <row r="44" spans="1:9" x14ac:dyDescent="0.2">
      <c r="A44" s="10">
        <f>IF(F28-(A41+A42+A43)&gt;4500000000,4500000000,F28-(A41+A42+A43))</f>
        <v>0</v>
      </c>
      <c r="B44" s="7">
        <v>0.3</v>
      </c>
      <c r="C44" s="6">
        <f t="shared" si="1"/>
        <v>0</v>
      </c>
      <c r="F44" s="14"/>
    </row>
    <row r="45" spans="1:9" s="65" customFormat="1" x14ac:dyDescent="0.2">
      <c r="A45" s="10">
        <f>IF(F28-(A41+A42+A43+A44)&gt;1,F28-(A41+A42+A43+A44),0)</f>
        <v>0</v>
      </c>
      <c r="B45" s="7">
        <v>0.35</v>
      </c>
      <c r="C45" s="6">
        <f t="shared" si="1"/>
        <v>0</v>
      </c>
      <c r="F45" s="14"/>
    </row>
    <row r="46" spans="1:9" x14ac:dyDescent="0.2">
      <c r="A46" s="10"/>
      <c r="B46" s="7"/>
      <c r="C46" s="6">
        <f>A46*0.35</f>
        <v>0</v>
      </c>
      <c r="F46" s="14"/>
    </row>
    <row r="47" spans="1:9" x14ac:dyDescent="0.2">
      <c r="A47" s="71" t="s">
        <v>22</v>
      </c>
      <c r="B47" s="72"/>
      <c r="C47" s="8">
        <f>SUM(C41:C46)</f>
        <v>-2186250</v>
      </c>
      <c r="F47" s="14"/>
      <c r="I47" s="12"/>
    </row>
    <row r="48" spans="1:9" x14ac:dyDescent="0.2">
      <c r="F48" s="14"/>
    </row>
  </sheetData>
  <mergeCells count="4">
    <mergeCell ref="B2:D2"/>
    <mergeCell ref="A33:B33"/>
    <mergeCell ref="D32:E32"/>
    <mergeCell ref="A47:B47"/>
  </mergeCells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Tax Prove Jan</vt:lpstr>
      <vt:lpstr>Tax Prove Feb</vt:lpstr>
      <vt:lpstr>Tax Prove Mar</vt:lpstr>
      <vt:lpstr>Tax Prove Apr</vt:lpstr>
      <vt:lpstr>Tax Prove Mei</vt:lpstr>
      <vt:lpstr>Tax Prove Jun</vt:lpstr>
      <vt:lpstr>Tax Prove Jul</vt:lpstr>
      <vt:lpstr>Tax Prove Agt</vt:lpstr>
      <vt:lpstr>Tax Prove Sep</vt:lpstr>
      <vt:lpstr>Tax Prove Okt</vt:lpstr>
      <vt:lpstr>Tax Prove Nov</vt:lpstr>
      <vt:lpstr>Tax Prove Des</vt:lpstr>
      <vt:lpstr>Annual Tax</vt:lpstr>
    </vt:vector>
  </TitlesOfParts>
  <Company>Freelance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Heriyas</dc:creator>
  <cp:lastModifiedBy>Admin</cp:lastModifiedBy>
  <cp:lastPrinted>2016-12-21T10:55:27Z</cp:lastPrinted>
  <dcterms:created xsi:type="dcterms:W3CDTF">2005-07-22T07:02:00Z</dcterms:created>
  <dcterms:modified xsi:type="dcterms:W3CDTF">2022-01-17T03:06:11Z</dcterms:modified>
</cp:coreProperties>
</file>